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drawings/drawing1.xml" ContentType="application/vnd.openxmlformats-officedocument.drawing+xml"/>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drawings/drawing2.xml" ContentType="application/vnd.openxmlformats-officedocument.drawing+xml"/>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customProperty78.bin" ContentType="application/vnd.openxmlformats-officedocument.spreadsheetml.customProperty"/>
  <Override PartName="/xl/customProperty79.bin" ContentType="application/vnd.openxmlformats-officedocument.spreadsheetml.customProperty"/>
  <Override PartName="/xl/customProperty80.bin" ContentType="application/vnd.openxmlformats-officedocument.spreadsheetml.customProperty"/>
  <Override PartName="/xl/customProperty81.bin" ContentType="application/vnd.openxmlformats-officedocument.spreadsheetml.customProperty"/>
  <Override PartName="/xl/customProperty82.bin" ContentType="application/vnd.openxmlformats-officedocument.spreadsheetml.customProperty"/>
  <Override PartName="/xl/customProperty83.bin" ContentType="application/vnd.openxmlformats-officedocument.spreadsheetml.customProperty"/>
  <Override PartName="/xl/customProperty84.bin" ContentType="application/vnd.openxmlformats-officedocument.spreadsheetml.customProperty"/>
  <Override PartName="/xl/customProperty85.bin" ContentType="application/vnd.openxmlformats-officedocument.spreadsheetml.customProperty"/>
  <Override PartName="/xl/customProperty86.bin" ContentType="application/vnd.openxmlformats-officedocument.spreadsheetml.customProperty"/>
  <Override PartName="/xl/customProperty87.bin" ContentType="application/vnd.openxmlformats-officedocument.spreadsheetml.customProperty"/>
  <Override PartName="/xl/customProperty88.bin" ContentType="application/vnd.openxmlformats-officedocument.spreadsheetml.customProperty"/>
  <Override PartName="/xl/drawings/drawing3.xml" ContentType="application/vnd.openxmlformats-officedocument.drawing+xml"/>
  <Override PartName="/xl/customProperty89.bin" ContentType="application/vnd.openxmlformats-officedocument.spreadsheetml.customProperty"/>
  <Override PartName="/xl/customProperty90.bin" ContentType="application/vnd.openxmlformats-officedocument.spreadsheetml.customProperty"/>
  <Override PartName="/xl/drawings/drawing4.xml" ContentType="application/vnd.openxmlformats-officedocument.drawing+xml"/>
  <Override PartName="/xl/customProperty91.bin" ContentType="application/vnd.openxmlformats-officedocument.spreadsheetml.customProperty"/>
  <Override PartName="/xl/customProperty92.bin" ContentType="application/vnd.openxmlformats-officedocument.spreadsheetml.customProperty"/>
  <Override PartName="/xl/customProperty93.bin" ContentType="application/vnd.openxmlformats-officedocument.spreadsheetml.customProperty"/>
  <Override PartName="/xl/customProperty94.bin" ContentType="application/vnd.openxmlformats-officedocument.spreadsheetml.customProperty"/>
  <Override PartName="/xl/customProperty95.bin" ContentType="application/vnd.openxmlformats-officedocument.spreadsheetml.customProperty"/>
  <Override PartName="/xl/customProperty96.bin" ContentType="application/vnd.openxmlformats-officedocument.spreadsheetml.customProperty"/>
  <Override PartName="/xl/customProperty97.bin" ContentType="application/vnd.openxmlformats-officedocument.spreadsheetml.customProperty"/>
  <Override PartName="/xl/customProperty98.bin" ContentType="application/vnd.openxmlformats-officedocument.spreadsheetml.customProperty"/>
  <Override PartName="/xl/customProperty99.bin" ContentType="application/vnd.openxmlformats-officedocument.spreadsheetml.customProperty"/>
  <Override PartName="/xl/customProperty100.bin" ContentType="application/vnd.openxmlformats-officedocument.spreadsheetml.customProperty"/>
  <Override PartName="/xl/customProperty101.bin" ContentType="application/vnd.openxmlformats-officedocument.spreadsheetml.customProperty"/>
  <Override PartName="/xl/customProperty10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empra.sharepoint.com/teams/transmissionrevenue/2026/TO6-Cycle 3 Formula Rate Filing/June Posting/TO6 Cycle 3 Model/"/>
    </mc:Choice>
  </mc:AlternateContent>
  <xr:revisionPtr revIDLastSave="901" documentId="8_{E68D1773-0A3C-4E7F-AE90-A99DBB246789}" xr6:coauthVersionLast="47" xr6:coauthVersionMax="47" xr10:uidLastSave="{783D8C2F-516E-4475-AF7C-B9A9A37E2D5A}"/>
  <bookViews>
    <workbookView xWindow="-120" yWindow="-120" windowWidth="29040" windowHeight="15720" tabRatio="899" xr2:uid="{858A8703-D568-49B1-BED3-8F4A955BB7EC}"/>
  </bookViews>
  <sheets>
    <sheet name="BK-1 BTRR - EU" sheetId="132" r:id="rId1"/>
    <sheet name="BK-2 BTRR - CAISO" sheetId="133" r:id="rId2"/>
    <sheet name="Stmt AD" sheetId="2" r:id="rId3"/>
    <sheet name="AD-1" sheetId="4" r:id="rId4"/>
    <sheet name="AD-2" sheetId="5" r:id="rId5"/>
    <sheet name="AD-3" sheetId="6" r:id="rId6"/>
    <sheet name="AD-4" sheetId="7" r:id="rId7"/>
    <sheet name="AD-5" sheetId="8" r:id="rId8"/>
    <sheet name="AD-6" sheetId="9" r:id="rId9"/>
    <sheet name="AD-6A" sheetId="10" r:id="rId10"/>
    <sheet name="AD-6B" sheetId="11" r:id="rId11"/>
    <sheet name="AD-7" sheetId="12" r:id="rId12"/>
    <sheet name="AD-8" sheetId="3" r:id="rId13"/>
    <sheet name="AD-9" sheetId="13" r:id="rId14"/>
    <sheet name="AD-10" sheetId="14" r:id="rId15"/>
    <sheet name="Stmt AE" sheetId="22" r:id="rId16"/>
    <sheet name="AE-1" sheetId="23" r:id="rId17"/>
    <sheet name="AE-1A" sheetId="136" r:id="rId18"/>
    <sheet name="AE-1B" sheetId="24" r:id="rId19"/>
    <sheet name="AE-2" sheetId="25" r:id="rId20"/>
    <sheet name="AE-3" sheetId="26" r:id="rId21"/>
    <sheet name="AE-4" sheetId="27" r:id="rId22"/>
    <sheet name="AE-5" sheetId="30" r:id="rId23"/>
    <sheet name="Stmt AF" sheetId="34" r:id="rId24"/>
    <sheet name="AF-1" sheetId="152" r:id="rId25"/>
    <sheet name="AF-2" sheetId="151" r:id="rId26"/>
    <sheet name="AF-3" sheetId="36" r:id="rId27"/>
    <sheet name="AF-4" sheetId="182" r:id="rId28"/>
    <sheet name="Stmt AG" sheetId="38" r:id="rId29"/>
    <sheet name="AG-1" sheetId="109" r:id="rId30"/>
    <sheet name="AG-1A" sheetId="135" r:id="rId31"/>
    <sheet name="Stmt AH" sheetId="40" r:id="rId32"/>
    <sheet name="AH-1" sheetId="41" r:id="rId33"/>
    <sheet name="AH-2" sheetId="42" r:id="rId34"/>
    <sheet name="Stmt AI" sheetId="45" r:id="rId35"/>
    <sheet name="Stmt AJ" sheetId="46" r:id="rId36"/>
    <sheet name="AJ-1" sheetId="47" r:id="rId37"/>
    <sheet name="AJ-1A" sheetId="48" r:id="rId38"/>
    <sheet name="AJ-1B" sheetId="49" r:id="rId39"/>
    <sheet name="AJ-2" sheetId="52" r:id="rId40"/>
    <sheet name="AJ-2A" sheetId="53" r:id="rId41"/>
    <sheet name="AJ-3" sheetId="56" r:id="rId42"/>
    <sheet name="AJ-3A" sheetId="57" r:id="rId43"/>
    <sheet name="AJ-4" sheetId="59" r:id="rId44"/>
    <sheet name="AJ-4A" sheetId="61" r:id="rId45"/>
    <sheet name="AJ-5" sheetId="63" r:id="rId46"/>
    <sheet name="AJ-6" sheetId="65" r:id="rId47"/>
    <sheet name="AJ-7" sheetId="64" r:id="rId48"/>
    <sheet name="Stmt AK" sheetId="66" r:id="rId49"/>
    <sheet name="Stmt AL" sheetId="69" r:id="rId50"/>
    <sheet name="AL-1" sheetId="70" r:id="rId51"/>
    <sheet name="AL-1.1" sheetId="196" r:id="rId52"/>
    <sheet name="AL-2" sheetId="71" r:id="rId53"/>
    <sheet name="Stmt AM" sheetId="72" r:id="rId54"/>
    <sheet name="AM-1" sheetId="73" r:id="rId55"/>
    <sheet name="Stmt AQ" sheetId="74" r:id="rId56"/>
    <sheet name="Stmt AR" sheetId="75" r:id="rId57"/>
    <sheet name="AR-1" sheetId="153" r:id="rId58"/>
    <sheet name="Stmt AT" sheetId="176" r:id="rId59"/>
    <sheet name="AT-1" sheetId="177" r:id="rId60"/>
    <sheet name="Stmt AU" sheetId="77" r:id="rId61"/>
    <sheet name="AU-1" sheetId="79" r:id="rId62"/>
    <sheet name="Stmt AV" sheetId="82" r:id="rId63"/>
    <sheet name="AV-1A" sheetId="183" r:id="rId64"/>
    <sheet name="AV-1B" sheetId="113" r:id="rId65"/>
    <sheet name="Stmt Misc." sheetId="137" r:id="rId66"/>
    <sheet name="Misc.-1" sheetId="156" r:id="rId67"/>
    <sheet name="Misc.-1.1" sheetId="158" r:id="rId68"/>
    <sheet name="Misc.-2" sheetId="190" r:id="rId69"/>
    <sheet name="Order 864-1" sheetId="171" r:id="rId70"/>
    <sheet name="Order 864-2" sheetId="172" r:id="rId71"/>
    <sheet name="Order 864-3" sheetId="173" r:id="rId72"/>
    <sheet name="Order 864-4" sheetId="174" r:id="rId73"/>
    <sheet name="True-Up" sheetId="140" r:id="rId74"/>
    <sheet name="TO5 True-Up" sheetId="202" r:id="rId75"/>
    <sheet name="TO6 True-Up" sheetId="201" r:id="rId76"/>
    <sheet name="TO5 True-Up BK-1" sheetId="144" r:id="rId77"/>
    <sheet name="TO6 True-Up BK-1" sheetId="200" r:id="rId78"/>
    <sheet name="TO5 Stmt AF Proration" sheetId="157" r:id="rId79"/>
    <sheet name="True Up Stmt AD" sheetId="191" r:id="rId80"/>
    <sheet name="True-Up Stmt AE" sheetId="192" r:id="rId81"/>
    <sheet name="True-Up Stmt AH" sheetId="184" r:id="rId82"/>
    <sheet name="True-up Stmt AH-1" sheetId="197" r:id="rId83"/>
    <sheet name="True-Up AH-2" sheetId="185" r:id="rId84"/>
    <sheet name="True-Up Stmt AI" sheetId="193" r:id="rId85"/>
    <sheet name="True-Up Stmt AJ" sheetId="194" r:id="rId86"/>
    <sheet name="True-Up Stmt AK" sheetId="195" r:id="rId87"/>
    <sheet name="True-Up Stmt AL" sheetId="186" r:id="rId88"/>
    <sheet name="True-Up Stmt AV" sheetId="178" r:id="rId89"/>
    <sheet name="True-Up Stmt Misc" sheetId="187" r:id="rId90"/>
    <sheet name="True-Up Misc.-1" sheetId="188" r:id="rId91"/>
    <sheet name="True-Up Misc.-1.1" sheetId="189" r:id="rId92"/>
    <sheet name="Interest TU BP" sheetId="141" r:id="rId93"/>
    <sheet name="Interest TU CY" sheetId="142" r:id="rId94"/>
    <sheet name="HV-LV Plant Study" sheetId="86" r:id="rId95"/>
    <sheet name="Summary of HV-LV Splits" sheetId="118" r:id="rId96"/>
    <sheet name="ET Forecast Capital Additions" sheetId="116" r:id="rId97"/>
    <sheet name="General &amp; Common Plant Addition" sheetId="117" r:id="rId98"/>
    <sheet name="Incentive Transmission Plant" sheetId="119" r:id="rId99"/>
    <sheet name="Incentive CWIP-A" sheetId="120" r:id="rId100"/>
    <sheet name="Incentive CWIP-B" sheetId="121" r:id="rId101"/>
  </sheets>
  <definedNames>
    <definedName name="____May2007" localSheetId="74">{"2002Frcst","05Month",FALSE,"Frcst Format 2002"}</definedName>
    <definedName name="____May2007" localSheetId="82">{"2002Frcst","05Month",FALSE,"Frcst Format 2002"}</definedName>
    <definedName name="____May2007">{"2002Frcst","05Month",FALSE,"Frcst Format 2002"}</definedName>
    <definedName name="___May2007" localSheetId="74">{"2002Frcst","05Month",FALSE,"Frcst Format 2002"}</definedName>
    <definedName name="___May2007" localSheetId="82">{"2002Frcst","05Month",FALSE,"Frcst Format 2002"}</definedName>
    <definedName name="___May2007">{"2002Frcst","05Month",FALSE,"Frcst Format 2002"}</definedName>
    <definedName name="__FDS_HYPERLINK_TOGGLE_STATE__">"ON"</definedName>
    <definedName name="__May2007" localSheetId="74">{"2002Frcst","05Month",FALSE,"Frcst Format 2002"}</definedName>
    <definedName name="__May2007" localSheetId="82">{"2002Frcst","05Month",FALSE,"Frcst Format 2002"}</definedName>
    <definedName name="__May2007">{"2002Frcst","05Month",FALSE,"Frcst Format 2002"}</definedName>
    <definedName name="_AtRisk_SimSetting_AutomaticallyGenerateReports">FALSE</definedName>
    <definedName name="_AtRisk_SimSetting_AutomaticResultsDisplayMode">1</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RandomNumberGenerator">0</definedName>
    <definedName name="_AtRisk_SimSetting_ReportsList">16</definedName>
    <definedName name="_AtRisk_SimSetting_SimNameCount">0</definedName>
    <definedName name="_AtRisk_SimSetting_SmartSensitivityAnalysisEnabled">TRUE</definedName>
    <definedName name="_AtRisk_SimSetting_StatisticFunctionUpdating">1</definedName>
    <definedName name="_AtRisk_SimSetting_StdRecalcBehavior">1</definedName>
    <definedName name="_AtRisk_SimSetting_StdRecalcWithoutRiskStatic">0</definedName>
    <definedName name="_AtRisk_SimSetting_StdRecalcWithoutRiskStaticPercentile">0.5</definedName>
    <definedName name="_May2007" localSheetId="74">{"2002Frcst","05Month",FALSE,"Frcst Format 2002"}</definedName>
    <definedName name="_May2007" localSheetId="82">{"2002Frcst","05Month",FALSE,"Frcst Format 2002"}</definedName>
    <definedName name="_May2007">{"2002Frcst","05Month",FALSE,"Frcst Format 2002"}</definedName>
    <definedName name="_Order1">255</definedName>
    <definedName name="_Order2">255</definedName>
    <definedName name="abc">"3Q12KMQDU0T4XKGIPPUR4OEMV"</definedName>
    <definedName name="anscount">2</definedName>
    <definedName name="AS2DocOpenMode">"AS2DocumentEdit"</definedName>
    <definedName name="AS2HasNoAutoHeaderFooter">" "</definedName>
    <definedName name="AS2NamedRange">3</definedName>
    <definedName name="AS2ReportLS">1</definedName>
    <definedName name="AS2SyncStepLS">0</definedName>
    <definedName name="AS2VersionLS">300</definedName>
    <definedName name="BG_Del">15</definedName>
    <definedName name="BG_Ins">4</definedName>
    <definedName name="BG_Mod">6</definedName>
    <definedName name="CBWorkbookPriority">-21190210</definedName>
    <definedName name="ddf" localSheetId="74">{"2002Frcst","06Month",FALSE,"Frcst Format 2002"}</definedName>
    <definedName name="ddf" localSheetId="82">{"2002Frcst","06Month",FALSE,"Frcst Format 2002"}</definedName>
    <definedName name="ddf">{"2002Frcst","06Month",FALSE,"Frcst Format 2002"}</definedName>
    <definedName name="ev.Calculation">-4105</definedName>
    <definedName name="ev.Initialized">FALSE</definedName>
    <definedName name="EV__LASTREFTIME__">39504.3191203704</definedName>
    <definedName name="hn.ExtDb">FALSE</definedName>
    <definedName name="hn.ModelType">"DEAL"</definedName>
    <definedName name="hn.ModelVersion">1</definedName>
    <definedName name="hn.NoUpload">0</definedName>
    <definedName name="HTML_Control1" localSheetId="74">{"'Attachment'!$A$1:$L$49"}</definedName>
    <definedName name="HTML_Control1" localSheetId="82">{"'Attachment'!$A$1:$L$49"}</definedName>
    <definedName name="HTML_Control1">{"'Attachment'!$A$1:$L$49"}</definedName>
    <definedName name="HTML_Control2" localSheetId="74">{"'Attachment'!$A$1:$L$49"}</definedName>
    <definedName name="HTML_Control2" localSheetId="82">{"'Attachment'!$A$1:$L$49"}</definedName>
    <definedName name="HTML_Control2">{"'Attachment'!$A$1:$L$49"}</definedName>
    <definedName name="HTML_Control3" localSheetId="74">{"'Attachment'!$A$1:$L$49"}</definedName>
    <definedName name="HTML_Control3" localSheetId="82">{"'Attachment'!$A$1:$L$49"}</definedName>
    <definedName name="HTML_Control3">{"'Attachment'!$A$1:$L$49"}</definedName>
    <definedName name="IQ_ACCOUNT_CHANGE">"c1449"</definedName>
    <definedName name="IQ_ACCOUNTING_STANDARD">"c4539"</definedName>
    <definedName name="IQ_ACCOUNTS_PAY">"c1343"</definedName>
    <definedName name="IQ_ACCR_INT_PAY">"c1"</definedName>
    <definedName name="IQ_ACCR_INT_PAY_CF">"c2"</definedName>
    <definedName name="IQ_ACCR_INT_RECEIV">"c3"</definedName>
    <definedName name="IQ_ACCR_INT_RECEIV_CF">"c4"</definedName>
    <definedName name="IQ_ACCRUED_EXP">"c1341"</definedName>
    <definedName name="IQ_ACCT_RECV_10YR_ANN_CAGR">"c6159"</definedName>
    <definedName name="IQ_ACCT_RECV_10YR_ANN_GROWTH">"c1924"</definedName>
    <definedName name="IQ_ACCT_RECV_1YR_ANN_GROWTH">"c1919"</definedName>
    <definedName name="IQ_ACCT_RECV_2YR_ANN_CAGR">"c6155"</definedName>
    <definedName name="IQ_ACCT_RECV_2YR_ANN_GROWTH">"c1920"</definedName>
    <definedName name="IQ_ACCT_RECV_3YR_ANN_CAGR">"c6156"</definedName>
    <definedName name="IQ_ACCT_RECV_3YR_ANN_GROWTH">"c1921"</definedName>
    <definedName name="IQ_ACCT_RECV_5YR_ANN_CAGR">"c6157"</definedName>
    <definedName name="IQ_ACCT_RECV_5YR_ANN_GROWTH">"c1922"</definedName>
    <definedName name="IQ_ACCT_RECV_7YR_ANN_CAGR">"c6158"</definedName>
    <definedName name="IQ_ACCT_RECV_7YR_ANN_GROWTH">"c1923"</definedName>
    <definedName name="IQ_ACCUM_DEP">"c1340"</definedName>
    <definedName name="IQ_ACCUMULATED_PENSION_OBLIGATION">"c2244"</definedName>
    <definedName name="IQ_ACCUMULATED_PENSION_OBLIGATION_DOMESTIC">"c2657"</definedName>
    <definedName name="IQ_ACCUMULATED_PENSION_OBLIGATION_FOREIGN">"c2665"</definedName>
    <definedName name="IQ_ACQ_COST_SUB">"c2125"</definedName>
    <definedName name="IQ_ACQ_COSTS_CAPITALIZED">"c5"</definedName>
    <definedName name="IQ_ACQUIRE_REAL_ESTATE_CF">"c6"</definedName>
    <definedName name="IQ_ACQUISITION_RE_ASSETS">"c1628"</definedName>
    <definedName name="IQ_AD">"c7"</definedName>
    <definedName name="IQ_ADD_PAID_IN">"c1344"</definedName>
    <definedName name="IQ_ADDIN">"AUTO"</definedName>
    <definedName name="IQ_ADJ_AVG_BANK_ASSETS">"c2671"</definedName>
    <definedName name="IQ_ADMIN_RATIO">"c2784"</definedName>
    <definedName name="IQ_ADVERTISING">"c2246"</definedName>
    <definedName name="IQ_ADVERTISING_MARKETING">"c1566"</definedName>
    <definedName name="IQ_AE">"c8"</definedName>
    <definedName name="IQ_AE_BNK">"c9"</definedName>
    <definedName name="IQ_AE_BR">"c10"</definedName>
    <definedName name="IQ_AE_FIN">"c11"</definedName>
    <definedName name="IQ_AE_INS">"c12"</definedName>
    <definedName name="IQ_AE_RE">"c6195"</definedName>
    <definedName name="IQ_AE_REIT">"c13"</definedName>
    <definedName name="IQ_AE_UTI">"c14"</definedName>
    <definedName name="IQ_AH_EARNED">"c2744"</definedName>
    <definedName name="IQ_AH_POLICY_BENEFITS_EXP">"c2789"</definedName>
    <definedName name="IQ_AIR_AIRPLANES_NOT_IN_SERVICE">"c2842"</definedName>
    <definedName name="IQ_AIR_AIRPLANES_SUBLEASED">"c2841"</definedName>
    <definedName name="IQ_AIR_ASK">"c2813"</definedName>
    <definedName name="IQ_AIR_ASK_INCREASE">"c2826"</definedName>
    <definedName name="IQ_AIR_ASM">"c2812"</definedName>
    <definedName name="IQ_AIR_ASM_INCREASE">"c2825"</definedName>
    <definedName name="IQ_AIR_AVG_AGE">"c2843"</definedName>
    <definedName name="IQ_AIR_BREAK_EVEN_FACTOR">"c2822"</definedName>
    <definedName name="IQ_AIR_CAPITAL_LEASE">"c2833"</definedName>
    <definedName name="IQ_AIR_COMPLETION_FACTOR">"c2824"</definedName>
    <definedName name="IQ_AIR_ENPLANED_PSGRS">"c2809"</definedName>
    <definedName name="IQ_AIR_FUEL_CONSUMED">"c2806"</definedName>
    <definedName name="IQ_AIR_FUEL_CONSUMED_L">"c2807"</definedName>
    <definedName name="IQ_AIR_FUEL_COST">"c2803"</definedName>
    <definedName name="IQ_AIR_FUEL_COST_L">"c2804"</definedName>
    <definedName name="IQ_AIR_FUEL_EXP">"c2802"</definedName>
    <definedName name="IQ_AIR_FUEL_EXP_PERCENT">"c2805"</definedName>
    <definedName name="IQ_AIR_LEASED">"c2835"</definedName>
    <definedName name="IQ_AIR_LOAD_FACTOR">"c2823"</definedName>
    <definedName name="IQ_AIR_NEW_AIRPLANES">"c2839"</definedName>
    <definedName name="IQ_AIR_OPER_EXP_ASK">"c2821"</definedName>
    <definedName name="IQ_AIR_OPER_EXP_ASM">"c2820"</definedName>
    <definedName name="IQ_AIR_OPER_LEASE">"c2834"</definedName>
    <definedName name="IQ_AIR_OPER_REV_YIELD_ASK">"c2819"</definedName>
    <definedName name="IQ_AIR_OPER_REV_YIELD_ASM">"c2818"</definedName>
    <definedName name="IQ_AIR_OPTIONS">"c2837"</definedName>
    <definedName name="IQ_AIR_ORDERS">"c2836"</definedName>
    <definedName name="IQ_AIR_OWNED">"c2832"</definedName>
    <definedName name="IQ_AIR_PSGR_REV_YIELD_ASK">"c2817"</definedName>
    <definedName name="IQ_AIR_PSGR_REV_YIELD_ASM">"c2816"</definedName>
    <definedName name="IQ_AIR_PSGR_REV_YIELD_RPK">"c2815"</definedName>
    <definedName name="IQ_AIR_PSGR_REV_YIELD_RPM">"c2814"</definedName>
    <definedName name="IQ_AIR_PURCHASE_RIGHTS">"c2838"</definedName>
    <definedName name="IQ_AIR_RETIRED_AIRPLANES">"c2840"</definedName>
    <definedName name="IQ_AIR_REV_PSGRS_CARRIED">"c2808"</definedName>
    <definedName name="IQ_AIR_REV_SCHEDULED_SERVICE">"c2830"</definedName>
    <definedName name="IQ_AIR_RPK">"c2811"</definedName>
    <definedName name="IQ_AIR_RPM">"c2810"</definedName>
    <definedName name="IQ_AIR_STAGE_LENGTH">"c2828"</definedName>
    <definedName name="IQ_AIR_STAGE_LENGTH_KM">"c2829"</definedName>
    <definedName name="IQ_AIR_TOTAL">"c2831"</definedName>
    <definedName name="IQ_AIR_UTILIZATION">"c2827"</definedName>
    <definedName name="IQ_ALLOW_BORROW_CONST">"c15"</definedName>
    <definedName name="IQ_ALLOW_CONST">"c1342"</definedName>
    <definedName name="IQ_ALLOW_DOUBT_ACCT">"c2092"</definedName>
    <definedName name="IQ_ALLOW_EQUITY_CONST">"c16"</definedName>
    <definedName name="IQ_ALLOW_LL">"c17"</definedName>
    <definedName name="IQ_ALLOWANCE_10YR_ANN_CAGR">"c6035"</definedName>
    <definedName name="IQ_ALLOWANCE_10YR_ANN_GROWTH">"c18"</definedName>
    <definedName name="IQ_ALLOWANCE_1YR_ANN_GROWTH">"c19"</definedName>
    <definedName name="IQ_ALLOWANCE_2YR_ANN_CAGR">"c6036"</definedName>
    <definedName name="IQ_ALLOWANCE_2YR_ANN_GROWTH">"c20"</definedName>
    <definedName name="IQ_ALLOWANCE_3YR_ANN_CAGR">"c6037"</definedName>
    <definedName name="IQ_ALLOWANCE_3YR_ANN_GROWTH">"c21"</definedName>
    <definedName name="IQ_ALLOWANCE_5YR_ANN_CAGR">"c6038"</definedName>
    <definedName name="IQ_ALLOWANCE_5YR_ANN_GROWTH">"c22"</definedName>
    <definedName name="IQ_ALLOWANCE_7YR_ANN_CAGR">"c6039"</definedName>
    <definedName name="IQ_ALLOWANCE_7YR_ANN_GROWTH">"c23"</definedName>
    <definedName name="IQ_ALLOWANCE_CHARGE_OFFS">"c24"</definedName>
    <definedName name="IQ_ALLOWANCE_NON_PERF_LOANS">"c25"</definedName>
    <definedName name="IQ_ALLOWANCE_TOTAL_LOANS">"c26"</definedName>
    <definedName name="IQ_AMORTIZATION">"c1591"</definedName>
    <definedName name="IQ_AMT_OUT">"c2145"</definedName>
    <definedName name="IQ_ANNU_DISTRIBUTION_UNIT">"c3004"</definedName>
    <definedName name="IQ_ANNUALIZED_DIVIDEND">"c1579"</definedName>
    <definedName name="IQ_ANNUITY_LIAB">"c27"</definedName>
    <definedName name="IQ_ANNUITY_PAY">"c28"</definedName>
    <definedName name="IQ_ANNUITY_POLICY_EXP">"c29"</definedName>
    <definedName name="IQ_ANNUITY_REC">"c30"</definedName>
    <definedName name="IQ_ANNUITY_REV">"c31"</definedName>
    <definedName name="IQ_AP">"c32"</definedName>
    <definedName name="IQ_AP_BNK">"c33"</definedName>
    <definedName name="IQ_AP_BR">"c34"</definedName>
    <definedName name="IQ_AP_FIN">"c35"</definedName>
    <definedName name="IQ_AP_INS">"c36"</definedName>
    <definedName name="IQ_AP_RE">"c6196"</definedName>
    <definedName name="IQ_AP_REIT">"c37"</definedName>
    <definedName name="IQ_AP_UTI">"c38"</definedName>
    <definedName name="IQ_APIC">"c39"</definedName>
    <definedName name="IQ_AR">"c40"</definedName>
    <definedName name="IQ_AR_BR">"c41"</definedName>
    <definedName name="IQ_AR_LT">"c42"</definedName>
    <definedName name="IQ_AR_RE">"c6197"</definedName>
    <definedName name="IQ_AR_REIT">"c43"</definedName>
    <definedName name="IQ_AR_TURNS">"c44"</definedName>
    <definedName name="IQ_AR_UTI">"c45"</definedName>
    <definedName name="IQ_ARPU">"c2126"</definedName>
    <definedName name="IQ_ASSET_MGMT_FEE">"c46"</definedName>
    <definedName name="IQ_ASSET_TURNS">"c47"</definedName>
    <definedName name="IQ_ASSET_WRITEDOWN">"c48"</definedName>
    <definedName name="IQ_ASSET_WRITEDOWN_BNK">"c49"</definedName>
    <definedName name="IQ_ASSET_WRITEDOWN_BR">"c50"</definedName>
    <definedName name="IQ_ASSET_WRITEDOWN_CF">"c51"</definedName>
    <definedName name="IQ_ASSET_WRITEDOWN_CF_BNK">"c52"</definedName>
    <definedName name="IQ_ASSET_WRITEDOWN_CF_BR">"c53"</definedName>
    <definedName name="IQ_ASSET_WRITEDOWN_CF_FIN">"c54"</definedName>
    <definedName name="IQ_ASSET_WRITEDOWN_CF_INS">"c55"</definedName>
    <definedName name="IQ_ASSET_WRITEDOWN_CF_RE">"c6198"</definedName>
    <definedName name="IQ_ASSET_WRITEDOWN_CF_REIT">"c56"</definedName>
    <definedName name="IQ_ASSET_WRITEDOWN_CF_UTI">"c57"</definedName>
    <definedName name="IQ_ASSET_WRITEDOWN_FIN">"c58"</definedName>
    <definedName name="IQ_ASSET_WRITEDOWN_INS">"c59"</definedName>
    <definedName name="IQ_ASSET_WRITEDOWN_RE">"c6199"</definedName>
    <definedName name="IQ_ASSET_WRITEDOWN_REIT">"c60"</definedName>
    <definedName name="IQ_ASSET_WRITEDOWN_UTI">"c61"</definedName>
    <definedName name="IQ_ASSETS_CAP_LEASE_DEPR">"c2068"</definedName>
    <definedName name="IQ_ASSETS_CAP_LEASE_GROSS">"c2069"</definedName>
    <definedName name="IQ_ASSETS_OPER_LEASE_DEPR">"c2070"</definedName>
    <definedName name="IQ_ASSETS_OPER_LEASE_GROSS">"c2071"</definedName>
    <definedName name="IQ_ASSUMED_AH_EARNED">"c2741"</definedName>
    <definedName name="IQ_ASSUMED_EARNED">"c2731"</definedName>
    <definedName name="IQ_ASSUMED_LIFE_EARNED">"c2736"</definedName>
    <definedName name="IQ_ASSUMED_LIFE_IN_FORCE">"c2766"</definedName>
    <definedName name="IQ_ASSUMED_PC_EARNED">"c2746"</definedName>
    <definedName name="IQ_ASSUMED_WRITTEN">"c2725"</definedName>
    <definedName name="IQ_AUDITOR_NAME">"c1539"</definedName>
    <definedName name="IQ_AUDITOR_OPINION">"c1540"</definedName>
    <definedName name="IQ_AUTO_WRITTEN">"c62"</definedName>
    <definedName name="IQ_AVG_BANK_ASSETS">"c2072"</definedName>
    <definedName name="IQ_AVG_BANK_LOANS">"c2073"</definedName>
    <definedName name="IQ_AVG_BROKER_REC">"c63"</definedName>
    <definedName name="IQ_AVG_BROKER_REC_NO">"c64"</definedName>
    <definedName name="IQ_AVG_BROKER_REC_NO_REUT">"c5315"</definedName>
    <definedName name="IQ_AVG_BROKER_REC_REUT">"c3630"</definedName>
    <definedName name="IQ_AVG_DAILY_VOL">"c65"</definedName>
    <definedName name="IQ_AVG_EMPLOYEES">"c6019"</definedName>
    <definedName name="IQ_AVG_INDUSTRY_REC">"c4455"</definedName>
    <definedName name="IQ_AVG_INDUSTRY_REC_NO">"c4454"</definedName>
    <definedName name="IQ_AVG_INT_BEAR_LIAB">"c66"</definedName>
    <definedName name="IQ_AVG_INT_BEAR_LIAB_10YR_ANN_CAGR">"c6040"</definedName>
    <definedName name="IQ_AVG_INT_BEAR_LIAB_10YR_ANN_GROWTH">"c67"</definedName>
    <definedName name="IQ_AVG_INT_BEAR_LIAB_1YR_ANN_GROWTH">"c68"</definedName>
    <definedName name="IQ_AVG_INT_BEAR_LIAB_2YR_ANN_CAGR">"c6041"</definedName>
    <definedName name="IQ_AVG_INT_BEAR_LIAB_2YR_ANN_GROWTH">"c69"</definedName>
    <definedName name="IQ_AVG_INT_BEAR_LIAB_3YR_ANN_CAGR">"c6042"</definedName>
    <definedName name="IQ_AVG_INT_BEAR_LIAB_3YR_ANN_GROWTH">"c70"</definedName>
    <definedName name="IQ_AVG_INT_BEAR_LIAB_5YR_ANN_CAGR">"c6043"</definedName>
    <definedName name="IQ_AVG_INT_BEAR_LIAB_5YR_ANN_GROWTH">"c71"</definedName>
    <definedName name="IQ_AVG_INT_BEAR_LIAB_7YR_ANN_CAGR">"c6044"</definedName>
    <definedName name="IQ_AVG_INT_BEAR_LIAB_7YR_ANN_GROWTH">"c72"</definedName>
    <definedName name="IQ_AVG_INT_EARN_ASSETS">"c73"</definedName>
    <definedName name="IQ_AVG_INT_EARN_ASSETS_10YR_ANN_CAGR">"c6045"</definedName>
    <definedName name="IQ_AVG_INT_EARN_ASSETS_10YR_ANN_GROWTH">"c74"</definedName>
    <definedName name="IQ_AVG_INT_EARN_ASSETS_1YR_ANN_GROWTH">"c75"</definedName>
    <definedName name="IQ_AVG_INT_EARN_ASSETS_2YR_ANN_CAGR">"c6046"</definedName>
    <definedName name="IQ_AVG_INT_EARN_ASSETS_2YR_ANN_GROWTH">"c76"</definedName>
    <definedName name="IQ_AVG_INT_EARN_ASSETS_3YR_ANN_CAGR">"c6047"</definedName>
    <definedName name="IQ_AVG_INT_EARN_ASSETS_3YR_ANN_GROWTH">"c77"</definedName>
    <definedName name="IQ_AVG_INT_EARN_ASSETS_5YR_ANN_CAGR">"c6048"</definedName>
    <definedName name="IQ_AVG_INT_EARN_ASSETS_5YR_ANN_GROWTH">"c78"</definedName>
    <definedName name="IQ_AVG_INT_EARN_ASSETS_7YR_ANN_CAGR">"c6049"</definedName>
    <definedName name="IQ_AVG_INT_EARN_ASSETS_7YR_ANN_GROWTH">"c79"</definedName>
    <definedName name="IQ_AVG_MKTCAP">"c80"</definedName>
    <definedName name="IQ_AVG_PRICE">"c81"</definedName>
    <definedName name="IQ_AVG_PRICE_TARGET">"c82"</definedName>
    <definedName name="IQ_AVG_SHAREOUTSTANDING">"c83"</definedName>
    <definedName name="IQ_AVG_TEMP_EMPLOYEES">"c6020"</definedName>
    <definedName name="IQ_AVG_TEV">"c84"</definedName>
    <definedName name="IQ_AVG_VOLUME">"c1346"</definedName>
    <definedName name="IQ_BANK_DEBT">"c2544"</definedName>
    <definedName name="IQ_BANK_DEBT_PCT">"c2545"</definedName>
    <definedName name="IQ_BASIC_EPS_EXCL">"c85"</definedName>
    <definedName name="IQ_BASIC_EPS_INCL">"c86"</definedName>
    <definedName name="IQ_BASIC_NORMAL_EPS">"c1592"</definedName>
    <definedName name="IQ_BASIC_OUTSTANDING_CURRENT_EST">"c4128"</definedName>
    <definedName name="IQ_BASIC_OUTSTANDING_CURRENT_HIGH_EST">"c4129"</definedName>
    <definedName name="IQ_BASIC_OUTSTANDING_CURRENT_LOW_EST">"c4130"</definedName>
    <definedName name="IQ_BASIC_OUTSTANDING_CURRENT_MEDIAN_EST">"c4131"</definedName>
    <definedName name="IQ_BASIC_OUTSTANDING_CURRENT_NUM_EST">"c4132"</definedName>
    <definedName name="IQ_BASIC_OUTSTANDING_CURRENT_STDDEV_EST">"c4133"</definedName>
    <definedName name="IQ_BASIC_OUTSTANDING_EST">"c4134"</definedName>
    <definedName name="IQ_BASIC_OUTSTANDING_HIGH_EST">"c4135"</definedName>
    <definedName name="IQ_BASIC_OUTSTANDING_LOW_EST">"c4136"</definedName>
    <definedName name="IQ_BASIC_OUTSTANDING_MEDIAN_EST">"c4137"</definedName>
    <definedName name="IQ_BASIC_OUTSTANDING_NUM_EST">"c4138"</definedName>
    <definedName name="IQ_BASIC_OUTSTANDING_STDDEV_EST">"c4139"</definedName>
    <definedName name="IQ_BASIC_WEIGHT">"c87"</definedName>
    <definedName name="IQ_BASIC_WEIGHT_EST">"c4140"</definedName>
    <definedName name="IQ_BASIC_WEIGHT_GUIDANCE">"c4141"</definedName>
    <definedName name="IQ_BASIC_WEIGHT_HIGH_EST">"c4142"</definedName>
    <definedName name="IQ_BASIC_WEIGHT_LOW_EST">"c4143"</definedName>
    <definedName name="IQ_BASIC_WEIGHT_MEDIAN_EST">"c4144"</definedName>
    <definedName name="IQ_BASIC_WEIGHT_NUM_EST">"c4145"</definedName>
    <definedName name="IQ_BASIC_WEIGHT_STDDEV_EST">"c4146"</definedName>
    <definedName name="IQ_BENCHMARK_SECURITY">"c2154"</definedName>
    <definedName name="IQ_BENCHMARK_SPRD">"c2153"</definedName>
    <definedName name="IQ_BETA">"c2133"</definedName>
    <definedName name="IQ_BETA_1YR">"c1966"</definedName>
    <definedName name="IQ_BETA_1YR_RSQ">"c2132"</definedName>
    <definedName name="IQ_BETA_2YR">"c1965"</definedName>
    <definedName name="IQ_BETA_2YR_RSQ">"c2131"</definedName>
    <definedName name="IQ_BETA_5YR">"c88"</definedName>
    <definedName name="IQ_BETA_5YR_RSQ">"c2130"</definedName>
    <definedName name="IQ_BIG_INT_BEAR_CD">"c89"</definedName>
    <definedName name="IQ_BOARD_MEMBER">"c96"</definedName>
    <definedName name="IQ_BOARD_MEMBER_BACKGROUND">"c2101"</definedName>
    <definedName name="IQ_BOARD_MEMBER_TITLE">"c97"</definedName>
    <definedName name="IQ_BOND_COUPON">"c2183"</definedName>
    <definedName name="IQ_BOND_COUPON_TYPE">"c2184"</definedName>
    <definedName name="IQ_BOND_PRICE">"c2162"</definedName>
    <definedName name="IQ_BROK_COMISSION">"c98"</definedName>
    <definedName name="IQ_BROK_COMMISSION">"c3514"</definedName>
    <definedName name="IQ_BUILDINGS">"c99"</definedName>
    <definedName name="IQ_BUS_SEG_ASSETS">"c4067"</definedName>
    <definedName name="IQ_BUS_SEG_ASSETS_ABS">"c4089"</definedName>
    <definedName name="IQ_BUS_SEG_ASSETS_TOTAL">"c4112"</definedName>
    <definedName name="IQ_BUS_SEG_CAPEX">"c4079"</definedName>
    <definedName name="IQ_BUS_SEG_CAPEX_ABS">"c4101"</definedName>
    <definedName name="IQ_BUS_SEG_CAPEX_TOTAL">"c4116"</definedName>
    <definedName name="IQ_BUS_SEG_DA">"c4078"</definedName>
    <definedName name="IQ_BUS_SEG_DA_ABS">"c4100"</definedName>
    <definedName name="IQ_BUS_SEG_DA_TOTAL">"c4115"</definedName>
    <definedName name="IQ_BUS_SEG_EARNINGS_OP">"c4063"</definedName>
    <definedName name="IQ_BUS_SEG_EARNINGS_OP_ABS">"c4085"</definedName>
    <definedName name="IQ_BUS_SEG_EARNINGS_OP_TOTAL">"c4108"</definedName>
    <definedName name="IQ_BUS_SEG_EBT">"c4064"</definedName>
    <definedName name="IQ_BUS_SEG_EBT_ABS">"c4086"</definedName>
    <definedName name="IQ_BUS_SEG_EBT_TOTAL">"c4110"</definedName>
    <definedName name="IQ_BUS_SEG_GP">"c4066"</definedName>
    <definedName name="IQ_BUS_SEG_GP_ABS">"c4088"</definedName>
    <definedName name="IQ_BUS_SEG_GP_TOTAL">"c4109"</definedName>
    <definedName name="IQ_BUS_SEG_INC_TAX">"c4077"</definedName>
    <definedName name="IQ_BUS_SEG_INC_TAX_ABS">"c4099"</definedName>
    <definedName name="IQ_BUS_SEG_INC_TAX_TOTAL">"c4114"</definedName>
    <definedName name="IQ_BUS_SEG_INTEREST_EXP">"c4076"</definedName>
    <definedName name="IQ_BUS_SEG_INTEREST_EXP_ABS">"c4098"</definedName>
    <definedName name="IQ_BUS_SEG_INTEREST_EXP_TOTAL">"c4113"</definedName>
    <definedName name="IQ_BUS_SEG_NAME">"c5482"</definedName>
    <definedName name="IQ_BUS_SEG_NAME_ABS">"c5483"</definedName>
    <definedName name="IQ_BUS_SEG_NI">"c4065"</definedName>
    <definedName name="IQ_BUS_SEG_NI_ABS">"c4087"</definedName>
    <definedName name="IQ_BUS_SEG_NI_TOTAL">"c4111"</definedName>
    <definedName name="IQ_BUS_SEG_OPER_INC">"c4062"</definedName>
    <definedName name="IQ_BUS_SEG_OPER_INC_ABS">"c4084"</definedName>
    <definedName name="IQ_BUS_SEG_OPER_INC_TOTAL">"c4107"</definedName>
    <definedName name="IQ_BUS_SEG_REV">"c4068"</definedName>
    <definedName name="IQ_BUS_SEG_REV_ABS">"c4090"</definedName>
    <definedName name="IQ_BUS_SEG_REV_TOTAL">"c4106"</definedName>
    <definedName name="IQ_BUSINESS_DESCRIPTION">"c322"</definedName>
    <definedName name="IQ_BV_EST">"c5624"</definedName>
    <definedName name="IQ_BV_HIGH_EST">"c5626"</definedName>
    <definedName name="IQ_BV_LOW_EST">"c5627"</definedName>
    <definedName name="IQ_BV_MEDIAN_EST">"c5625"</definedName>
    <definedName name="IQ_BV_NUM_EST">"c5628"</definedName>
    <definedName name="IQ_BV_OVER_SHARES">"c1349"</definedName>
    <definedName name="IQ_BV_SHARE">"c100"</definedName>
    <definedName name="IQ_BV_SHARE_ACT_OR_EST">"c3587"</definedName>
    <definedName name="IQ_BV_SHARE_ACT_OR_EST_REUT">"c5477"</definedName>
    <definedName name="IQ_BV_SHARE_EST">"c3541"</definedName>
    <definedName name="IQ_BV_SHARE_EST_REUT">"c5439"</definedName>
    <definedName name="IQ_BV_SHARE_HIGH_EST">"c3542"</definedName>
    <definedName name="IQ_BV_SHARE_HIGH_EST_REUT">"c5441"</definedName>
    <definedName name="IQ_BV_SHARE_LOW_EST">"c3543"</definedName>
    <definedName name="IQ_BV_SHARE_LOW_EST_REUT">"c5442"</definedName>
    <definedName name="IQ_BV_SHARE_MEDIAN_EST">"c3544"</definedName>
    <definedName name="IQ_BV_SHARE_MEDIAN_EST_REUT">"c5440"</definedName>
    <definedName name="IQ_BV_SHARE_NUM_EST">"c3539"</definedName>
    <definedName name="IQ_BV_SHARE_NUM_EST_REUT">"c5443"</definedName>
    <definedName name="IQ_BV_SHARE_STDDEV_EST">"c3540"</definedName>
    <definedName name="IQ_BV_SHARE_STDDEV_EST_REUT">"c5444"</definedName>
    <definedName name="IQ_BV_STDDEV_EST">"c5629"</definedName>
    <definedName name="IQ_CABLE_ARPU">"c2869"</definedName>
    <definedName name="IQ_CABLE_ARPU_ANALOG">"c2864"</definedName>
    <definedName name="IQ_CABLE_ARPU_BASIC">"c2866"</definedName>
    <definedName name="IQ_CABLE_ARPU_BBAND">"c2867"</definedName>
    <definedName name="IQ_CABLE_ARPU_DIG">"c2865"</definedName>
    <definedName name="IQ_CABLE_ARPU_PHONE">"c2868"</definedName>
    <definedName name="IQ_CABLE_BASIC_PENETRATION">"c2850"</definedName>
    <definedName name="IQ_CABLE_BBAND_PENETRATION">"c2852"</definedName>
    <definedName name="IQ_CABLE_BBAND_PENETRATION_THP">"c2851"</definedName>
    <definedName name="IQ_CABLE_CHURN">"c2874"</definedName>
    <definedName name="IQ_CABLE_CHURN_BASIC">"c2871"</definedName>
    <definedName name="IQ_CABLE_CHURN_BBAND">"c2872"</definedName>
    <definedName name="IQ_CABLE_CHURN_DIG">"c2870"</definedName>
    <definedName name="IQ_CABLE_CHURN_PHONE">"c2873"</definedName>
    <definedName name="IQ_CABLE_HOMES_PER_MILE">"c2849"</definedName>
    <definedName name="IQ_CABLE_HP_BBAND">"c2845"</definedName>
    <definedName name="IQ_CABLE_HP_DIG">"c2844"</definedName>
    <definedName name="IQ_CABLE_HP_PHONE">"c2846"</definedName>
    <definedName name="IQ_CABLE_MILES_PASSED">"c2848"</definedName>
    <definedName name="IQ_CABLE_OTHER_REV">"c2882"</definedName>
    <definedName name="IQ_CABLE_PHONE_PENETRATION">"c2853"</definedName>
    <definedName name="IQ_CABLE_PROGRAMMING_COSTS">"c2884"</definedName>
    <definedName name="IQ_CABLE_REV_ADVERT">"c2880"</definedName>
    <definedName name="IQ_CABLE_REV_ANALOG">"c2875"</definedName>
    <definedName name="IQ_CABLE_REV_BASIC">"c2877"</definedName>
    <definedName name="IQ_CABLE_REV_BBAND">"c2878"</definedName>
    <definedName name="IQ_CABLE_REV_COMMERCIAL">"c2881"</definedName>
    <definedName name="IQ_CABLE_REV_DIG">"c2876"</definedName>
    <definedName name="IQ_CABLE_REV_PHONE">"c2879"</definedName>
    <definedName name="IQ_CABLE_RGU">"c2863"</definedName>
    <definedName name="IQ_CABLE_SUBS_ANALOG">"c2855"</definedName>
    <definedName name="IQ_CABLE_SUBS_BASIC">"c2857"</definedName>
    <definedName name="IQ_CABLE_SUBS_BBAND">"c2858"</definedName>
    <definedName name="IQ_CABLE_SUBS_BUNDLED">"c2861"</definedName>
    <definedName name="IQ_CABLE_SUBS_DIG">"c2856"</definedName>
    <definedName name="IQ_CABLE_SUBS_NON_VIDEO">"c2860"</definedName>
    <definedName name="IQ_CABLE_SUBS_PHONE">"c2859"</definedName>
    <definedName name="IQ_CABLE_SUBS_TOTAL">"c2862"</definedName>
    <definedName name="IQ_CABLE_THP">"c2847"</definedName>
    <definedName name="IQ_CABLE_TOTAL_PENETRATION">"c2854"</definedName>
    <definedName name="IQ_CABLE_TOTAL_REV">"c2883"</definedName>
    <definedName name="IQ_CAL_Q">"c101"</definedName>
    <definedName name="IQ_CAL_Y">"c102"</definedName>
    <definedName name="IQ_CALC_TYPE_BS">"c3086"</definedName>
    <definedName name="IQ_CALC_TYPE_CF">"c3085"</definedName>
    <definedName name="IQ_CALC_TYPE_IS">"c3084"</definedName>
    <definedName name="IQ_CALL_DATE_SCHEDULE">"c2481"</definedName>
    <definedName name="IQ_CALL_FEATURE">"c2197"</definedName>
    <definedName name="IQ_CALL_PRICE_SCHEDULE">"c2482"</definedName>
    <definedName name="IQ_CALLABLE">"c2196"</definedName>
    <definedName name="IQ_CAP_LOSS_CF_1YR">"c3474"</definedName>
    <definedName name="IQ_CAP_LOSS_CF_2YR">"c3475"</definedName>
    <definedName name="IQ_CAP_LOSS_CF_3YR">"c3476"</definedName>
    <definedName name="IQ_CAP_LOSS_CF_4YR">"c3477"</definedName>
    <definedName name="IQ_CAP_LOSS_CF_5YR">"c3478"</definedName>
    <definedName name="IQ_CAP_LOSS_CF_AFTER_FIVE">"c3479"</definedName>
    <definedName name="IQ_CAP_LOSS_CF_MAX_YEAR">"c3482"</definedName>
    <definedName name="IQ_CAP_LOSS_CF_NO_EXP">"c3480"</definedName>
    <definedName name="IQ_CAP_LOSS_CF_TOTAL">"c3481"</definedName>
    <definedName name="IQ_CAPEX">"c103"</definedName>
    <definedName name="IQ_CAPEX_10YR_ANN_CAGR">"c6050"</definedName>
    <definedName name="IQ_CAPEX_10YR_ANN_GROWTH">"c104"</definedName>
    <definedName name="IQ_CAPEX_1YR_ANN_GROWTH">"c105"</definedName>
    <definedName name="IQ_CAPEX_2YR_ANN_CAGR">"c6051"</definedName>
    <definedName name="IQ_CAPEX_2YR_ANN_GROWTH">"c106"</definedName>
    <definedName name="IQ_CAPEX_3YR_ANN_CAGR">"c6052"</definedName>
    <definedName name="IQ_CAPEX_3YR_ANN_GROWTH">"c107"</definedName>
    <definedName name="IQ_CAPEX_5YR_ANN_CAGR">"c6053"</definedName>
    <definedName name="IQ_CAPEX_5YR_ANN_GROWTH">"c108"</definedName>
    <definedName name="IQ_CAPEX_7YR_ANN_CAGR">"c6054"</definedName>
    <definedName name="IQ_CAPEX_7YR_ANN_GROWTH">"c109"</definedName>
    <definedName name="IQ_CAPEX_ACT_OR_EST">"c3584"</definedName>
    <definedName name="IQ_CAPEX_ACT_OR_EST_REUT">"c5474"</definedName>
    <definedName name="IQ_CAPEX_BNK">"c110"</definedName>
    <definedName name="IQ_CAPEX_BR">"c111"</definedName>
    <definedName name="IQ_CAPEX_EST">"c3523"</definedName>
    <definedName name="IQ_CAPEX_EST_REUT">"c3969"</definedName>
    <definedName name="IQ_CAPEX_FIN">"c112"</definedName>
    <definedName name="IQ_CAPEX_GUIDANCE">"c4150"</definedName>
    <definedName name="IQ_CAPEX_HIGH_EST">"c3524"</definedName>
    <definedName name="IQ_CAPEX_HIGH_EST_REUT">"c3971"</definedName>
    <definedName name="IQ_CAPEX_HIGH_GUIDANCE">"c4180"</definedName>
    <definedName name="IQ_CAPEX_INS">"c113"</definedName>
    <definedName name="IQ_CAPEX_LOW_EST">"c3525"</definedName>
    <definedName name="IQ_CAPEX_LOW_EST_REUT">"c3972"</definedName>
    <definedName name="IQ_CAPEX_LOW_GUIDANCE">"c4220"</definedName>
    <definedName name="IQ_CAPEX_MEDIAN_EST">"c3526"</definedName>
    <definedName name="IQ_CAPEX_MEDIAN_EST_REUT">"c3970"</definedName>
    <definedName name="IQ_CAPEX_NUM_EST">"c3521"</definedName>
    <definedName name="IQ_CAPEX_NUM_EST_REUT">"c3973"</definedName>
    <definedName name="IQ_CAPEX_STDDEV_EST">"c3522"</definedName>
    <definedName name="IQ_CAPEX_STDDEV_EST_REUT">"c3974"</definedName>
    <definedName name="IQ_CAPEX_UTI">"c114"</definedName>
    <definedName name="IQ_CAPITAL_LEASE">"c1350"</definedName>
    <definedName name="IQ_CAPITAL_LEASES">"c115"</definedName>
    <definedName name="IQ_CAPITAL_LEASES_TOTAL">"c3031"</definedName>
    <definedName name="IQ_CAPITAL_LEASES_TOTAL_PCT">"c2506"</definedName>
    <definedName name="IQ_CAPITALIZED_INTEREST">"c3460"</definedName>
    <definedName name="IQ_CAPITALIZED_INTEREST_BOP">"c3459"</definedName>
    <definedName name="IQ_CAPITALIZED_INTEREST_EOP">"c3464"</definedName>
    <definedName name="IQ_CAPITALIZED_INTEREST_EXP">"c3461"</definedName>
    <definedName name="IQ_CAPITALIZED_INTEREST_OTHER_ADJ">"c3463"</definedName>
    <definedName name="IQ_CAPITALIZED_INTEREST_WRITE_OFF">"c3462"</definedName>
    <definedName name="IQ_CASH">"c1458"</definedName>
    <definedName name="IQ_CASH_ACQUIRE_CF">"c116"</definedName>
    <definedName name="IQ_CASH_CONVERSION">"c117"</definedName>
    <definedName name="IQ_CASH_DUE_BANKS">"c1351"</definedName>
    <definedName name="IQ_CASH_EPS_ACT_OR_EST">"c5638"</definedName>
    <definedName name="IQ_CASH_EPS_EST">"c5631"</definedName>
    <definedName name="IQ_CASH_EPS_HIGH_EST">"c5633"</definedName>
    <definedName name="IQ_CASH_EPS_LOW_EST">"c5634"</definedName>
    <definedName name="IQ_CASH_EPS_MEDIAN_EST">"c5632"</definedName>
    <definedName name="IQ_CASH_EPS_NUM_EST">"c5635"</definedName>
    <definedName name="IQ_CASH_EPS_STDDEV_EST">"c5636"</definedName>
    <definedName name="IQ_CASH_EQUIV">"c118"</definedName>
    <definedName name="IQ_CASH_FINAN">"c119"</definedName>
    <definedName name="IQ_CASH_FLOW_ACT_OR_EST">"c4154"</definedName>
    <definedName name="IQ_CASH_FLOW_EST">"c4153"</definedName>
    <definedName name="IQ_CASH_FLOW_GUIDANCE">"c4155"</definedName>
    <definedName name="IQ_CASH_FLOW_HIGH_EST">"c4156"</definedName>
    <definedName name="IQ_CASH_FLOW_HIGH_GUIDANCE">"c4201"</definedName>
    <definedName name="IQ_CASH_FLOW_LOW_EST">"c4157"</definedName>
    <definedName name="IQ_CASH_FLOW_LOW_GUIDANCE">"c4241"</definedName>
    <definedName name="IQ_CASH_FLOW_MEDIAN_EST">"c4158"</definedName>
    <definedName name="IQ_CASH_FLOW_NUM_EST">"c4159"</definedName>
    <definedName name="IQ_CASH_FLOW_STDDEV_EST">"c4160"</definedName>
    <definedName name="IQ_CASH_INTEREST">"c120"</definedName>
    <definedName name="IQ_CASH_INVEST">"c121"</definedName>
    <definedName name="IQ_CASH_OPER">"c122"</definedName>
    <definedName name="IQ_CASH_OPER_ACT_OR_EST">"c4164"</definedName>
    <definedName name="IQ_CASH_OPER_EST">"c4163"</definedName>
    <definedName name="IQ_CASH_OPER_GUIDANCE">"c4165"</definedName>
    <definedName name="IQ_CASH_OPER_HIGH_EST">"c4166"</definedName>
    <definedName name="IQ_CASH_OPER_HIGH_GUIDANCE">"c4185"</definedName>
    <definedName name="IQ_CASH_OPER_LOW_EST">"c4244"</definedName>
    <definedName name="IQ_CASH_OPER_LOW_GUIDANCE">"c4225"</definedName>
    <definedName name="IQ_CASH_OPER_MEDIAN_EST">"c4245"</definedName>
    <definedName name="IQ_CASH_OPER_NUM_EST">"c4246"</definedName>
    <definedName name="IQ_CASH_OPER_STDDEV_EST">"c4247"</definedName>
    <definedName name="IQ_CASH_SEGREG">"c123"</definedName>
    <definedName name="IQ_CASH_SHARE">"c1911"</definedName>
    <definedName name="IQ_CASH_ST">"c1355"</definedName>
    <definedName name="IQ_CASH_ST_INVEST">"c124"</definedName>
    <definedName name="IQ_CASH_ST_INVEST_EST">"c4249"</definedName>
    <definedName name="IQ_CASH_ST_INVEST_GUIDANCE">"c4250"</definedName>
    <definedName name="IQ_CASH_ST_INVEST_HIGH_EST">"c4251"</definedName>
    <definedName name="IQ_CASH_ST_INVEST_HIGH_GUIDANCE">"c4195"</definedName>
    <definedName name="IQ_CASH_ST_INVEST_LOW_EST">"c4252"</definedName>
    <definedName name="IQ_CASH_ST_INVEST_LOW_GUIDANCE">"c4235"</definedName>
    <definedName name="IQ_CASH_ST_INVEST_MEDIAN_EST">"c4253"</definedName>
    <definedName name="IQ_CASH_ST_INVEST_NUM_EST">"c4254"</definedName>
    <definedName name="IQ_CASH_ST_INVEST_STDDEV_EST">"c4255"</definedName>
    <definedName name="IQ_CASH_TAXES">"c125"</definedName>
    <definedName name="IQ_CDS_ASK">"c6027"</definedName>
    <definedName name="IQ_CDS_BID">"c6026"</definedName>
    <definedName name="IQ_CDS_CURRENCY">"c6031"</definedName>
    <definedName name="IQ_CDS_EVAL_DATE">"c6029"</definedName>
    <definedName name="IQ_CDS_MID">"c6028"</definedName>
    <definedName name="IQ_CDS_NAME">"c6034"</definedName>
    <definedName name="IQ_CDS_TERM">"c6030"</definedName>
    <definedName name="IQ_CDS_TYPE">"c6025"</definedName>
    <definedName name="IQ_CEDED_AH_EARNED">"c2743"</definedName>
    <definedName name="IQ_CEDED_CLAIM_EXP_INCUR">"c2756"</definedName>
    <definedName name="IQ_CEDED_CLAIM_EXP_PAID">"c2759"</definedName>
    <definedName name="IQ_CEDED_CLAIM_EXP_RES">"c2753"</definedName>
    <definedName name="IQ_CEDED_EARNED">"c2733"</definedName>
    <definedName name="IQ_CEDED_LIFE_EARNED">"c2738"</definedName>
    <definedName name="IQ_CEDED_LIFE_IN_FORCE">"c2768"</definedName>
    <definedName name="IQ_CEDED_PC_EARNED">"c2748"</definedName>
    <definedName name="IQ_CEDED_WRITTEN">"c2727"</definedName>
    <definedName name="IQ_CFO_10YR_ANN_CAGR">"c6055"</definedName>
    <definedName name="IQ_CFO_10YR_ANN_GROWTH">"c126"</definedName>
    <definedName name="IQ_CFO_1YR_ANN_GROWTH">"c127"</definedName>
    <definedName name="IQ_CFO_2YR_ANN_CAGR">"c6056"</definedName>
    <definedName name="IQ_CFO_2YR_ANN_GROWTH">"c128"</definedName>
    <definedName name="IQ_CFO_3YR_ANN_CAGR">"c6057"</definedName>
    <definedName name="IQ_CFO_3YR_ANN_GROWTH">"c129"</definedName>
    <definedName name="IQ_CFO_5YR_ANN_CAGR">"c6058"</definedName>
    <definedName name="IQ_CFO_5YR_ANN_GROWTH">"c130"</definedName>
    <definedName name="IQ_CFO_7YR_ANN_CAGR">"c6059"</definedName>
    <definedName name="IQ_CFO_7YR_ANN_GROWTH">"c131"</definedName>
    <definedName name="IQ_CFO_CURRENT_LIAB">"c132"</definedName>
    <definedName name="IQ_CFPS_ACT_OR_EST">"c2217"</definedName>
    <definedName name="IQ_CFPS_ACT_OR_EST_REUT">"c5463"</definedName>
    <definedName name="IQ_CFPS_EST">"c1667"</definedName>
    <definedName name="IQ_CFPS_EST_REUT">"c3844"</definedName>
    <definedName name="IQ_CFPS_GUIDANCE">"c4256"</definedName>
    <definedName name="IQ_CFPS_HIGH_EST">"c1669"</definedName>
    <definedName name="IQ_CFPS_HIGH_EST_REUT">"c3846"</definedName>
    <definedName name="IQ_CFPS_HIGH_GUIDANCE">"c4167"</definedName>
    <definedName name="IQ_CFPS_LOW_EST">"c1670"</definedName>
    <definedName name="IQ_CFPS_LOW_EST_REUT">"c3847"</definedName>
    <definedName name="IQ_CFPS_LOW_GUIDANCE">"c4207"</definedName>
    <definedName name="IQ_CFPS_MEDIAN_EST">"c1668"</definedName>
    <definedName name="IQ_CFPS_MEDIAN_EST_REUT">"c3845"</definedName>
    <definedName name="IQ_CFPS_NUM_EST">"c1671"</definedName>
    <definedName name="IQ_CFPS_NUM_EST_REUT">"c3848"</definedName>
    <definedName name="IQ_CFPS_STDDEV_EST">"c1672"</definedName>
    <definedName name="IQ_CFPS_STDDEV_EST_REUT">"c3849"</definedName>
    <definedName name="IQ_CHANGE_AP">"c133"</definedName>
    <definedName name="IQ_CHANGE_AP_BNK">"c134"</definedName>
    <definedName name="IQ_CHANGE_AP_BR">"c135"</definedName>
    <definedName name="IQ_CHANGE_AP_FIN">"c136"</definedName>
    <definedName name="IQ_CHANGE_AP_INS">"c137"</definedName>
    <definedName name="IQ_CHANGE_AP_RE">"c6200"</definedName>
    <definedName name="IQ_CHANGE_AP_REIT">"c138"</definedName>
    <definedName name="IQ_CHANGE_AP_UTI">"c139"</definedName>
    <definedName name="IQ_CHANGE_AR">"c140"</definedName>
    <definedName name="IQ_CHANGE_AR_BNK">"c141"</definedName>
    <definedName name="IQ_CHANGE_AR_BR">"c142"</definedName>
    <definedName name="IQ_CHANGE_AR_FIN">"c143"</definedName>
    <definedName name="IQ_CHANGE_AR_INS">"c144"</definedName>
    <definedName name="IQ_CHANGE_AR_RE">"c6201"</definedName>
    <definedName name="IQ_CHANGE_AR_REIT">"c145"</definedName>
    <definedName name="IQ_CHANGE_AR_UTI">"c146"</definedName>
    <definedName name="IQ_CHANGE_DEF_TAX">"c147"</definedName>
    <definedName name="IQ_CHANGE_DEPOSIT_ACCT">"c148"</definedName>
    <definedName name="IQ_CHANGE_INC_TAX">"c149"</definedName>
    <definedName name="IQ_CHANGE_INS_RES_LIAB">"c150"</definedName>
    <definedName name="IQ_CHANGE_INVENTORY">"c151"</definedName>
    <definedName name="IQ_CHANGE_NET_OPER_ASSETS">"c3592"</definedName>
    <definedName name="IQ_CHANGE_NET_WORKING_CAPITAL">"c1909"</definedName>
    <definedName name="IQ_CHANGE_OTHER_NET_OPER_ASSETS">"c3593"</definedName>
    <definedName name="IQ_CHANGE_OTHER_NET_OPER_ASSETS_BNK">"c3594"</definedName>
    <definedName name="IQ_CHANGE_OTHER_NET_OPER_ASSETS_BR">"c3595"</definedName>
    <definedName name="IQ_CHANGE_OTHER_NET_OPER_ASSETS_FIN">"c3596"</definedName>
    <definedName name="IQ_CHANGE_OTHER_NET_OPER_ASSETS_INS">"c3597"</definedName>
    <definedName name="IQ_CHANGE_OTHER_NET_OPER_ASSETS_RE">"c6285"</definedName>
    <definedName name="IQ_CHANGE_OTHER_NET_OPER_ASSETS_REIT">"c3598"</definedName>
    <definedName name="IQ_CHANGE_OTHER_NET_OPER_ASSETS_UTI">"c3599"</definedName>
    <definedName name="IQ_CHANGE_OTHER_WORK_CAP">"c152"</definedName>
    <definedName name="IQ_CHANGE_OTHER_WORK_CAP_BNK">"c153"</definedName>
    <definedName name="IQ_CHANGE_OTHER_WORK_CAP_BR">"c154"</definedName>
    <definedName name="IQ_CHANGE_OTHER_WORK_CAP_FIN">"c155"</definedName>
    <definedName name="IQ_CHANGE_OTHER_WORK_CAP_INS">"c156"</definedName>
    <definedName name="IQ_CHANGE_OTHER_WORK_CAP_REIT">"c157"</definedName>
    <definedName name="IQ_CHANGE_OTHER_WORK_CAP_UTI">"c158"</definedName>
    <definedName name="IQ_CHANGE_TRADING_ASSETS">"c159"</definedName>
    <definedName name="IQ_CHANGE_UNEARN_REV">"c160"</definedName>
    <definedName name="IQ_CHANGE_WORK_CAP">"c161"</definedName>
    <definedName name="IQ_CHANGES_WORK_CAP">"c1357"</definedName>
    <definedName name="IQ_CHARGE_OFFS_GROSS">"c162"</definedName>
    <definedName name="IQ_CHARGE_OFFS_NET">"c163"</definedName>
    <definedName name="IQ_CHARGE_OFFS_RECOVERED">"c164"</definedName>
    <definedName name="IQ_CHARGE_OFFS_TOTAL_AVG_LOANS">"c165"</definedName>
    <definedName name="IQ_CITY">"c166"</definedName>
    <definedName name="IQ_CL_DUE_AFTER_FIVE">"c167"</definedName>
    <definedName name="IQ_CL_DUE_CY">"c168"</definedName>
    <definedName name="IQ_CL_DUE_CY1">"c169"</definedName>
    <definedName name="IQ_CL_DUE_CY2">"c170"</definedName>
    <definedName name="IQ_CL_DUE_CY3">"c171"</definedName>
    <definedName name="IQ_CL_DUE_CY4">"c172"</definedName>
    <definedName name="IQ_CL_DUE_NEXT_FIVE">"c173"</definedName>
    <definedName name="IQ_CL_OBLIGATION_IMMEDIATE">"c2253"</definedName>
    <definedName name="IQ_CLASSA_OPTIONS_BEG_OS">"c2679"</definedName>
    <definedName name="IQ_CLASSA_OPTIONS_CANCELLED">"c2682"</definedName>
    <definedName name="IQ_CLASSA_OPTIONS_END_OS">"c2683"</definedName>
    <definedName name="IQ_CLASSA_OPTIONS_EXERCISABLE_END_OS">"c5809"</definedName>
    <definedName name="IQ_CLASSA_OPTIONS_EXERCISED">"c2681"</definedName>
    <definedName name="IQ_CLASSA_OPTIONS_GRANTED">"c2680"</definedName>
    <definedName name="IQ_CLASSA_OPTIONS_STRIKE_PRICE_BEG_OS">"c5810"</definedName>
    <definedName name="IQ_CLASSA_OPTIONS_STRIKE_PRICE_CANCELLED">"c5812"</definedName>
    <definedName name="IQ_CLASSA_OPTIONS_STRIKE_PRICE_EXERCISABLE">"c5813"</definedName>
    <definedName name="IQ_CLASSA_OPTIONS_STRIKE_PRICE_EXERCISED">"c5811"</definedName>
    <definedName name="IQ_CLASSA_OPTIONS_STRIKE_PRICE_OS">"c2684"</definedName>
    <definedName name="IQ_CLASSA_OUTSTANDING_BS_DATE">"c1971"</definedName>
    <definedName name="IQ_CLASSA_OUTSTANDING_FILING_DATE">"c1973"</definedName>
    <definedName name="IQ_CLASSA_STRIKE_PRICE_GRANTED">"c2685"</definedName>
    <definedName name="IQ_CLASSA_WARRANTS_BEG_OS">"c2705"</definedName>
    <definedName name="IQ_CLASSA_WARRANTS_CANCELLED">"c2708"</definedName>
    <definedName name="IQ_CLASSA_WARRANTS_END_OS">"c2709"</definedName>
    <definedName name="IQ_CLASSA_WARRANTS_EXERCISED">"c2707"</definedName>
    <definedName name="IQ_CLASSA_WARRANTS_ISSUED">"c2706"</definedName>
    <definedName name="IQ_CLASSA_WARRANTS_STRIKE_PRICE_ISSUED">"c2711"</definedName>
    <definedName name="IQ_CLASSA_WARRANTS_STRIKE_PRICE_OS">"c2710"</definedName>
    <definedName name="IQ_CLOSEPRICE">"c174"</definedName>
    <definedName name="IQ_CLOSEPRICE_ADJ">"c2115"</definedName>
    <definedName name="IQ_COGS">"c175"</definedName>
    <definedName name="IQ_COMBINED_RATIO">"c176"</definedName>
    <definedName name="IQ_COMMERCIAL_DOM">"c177"</definedName>
    <definedName name="IQ_COMMERCIAL_FIRE_WRITTEN">"c178"</definedName>
    <definedName name="IQ_COMMERCIAL_MORT">"c179"</definedName>
    <definedName name="IQ_COMMISS_FEES">"c180"</definedName>
    <definedName name="IQ_COMMISSION_DEF">"c181"</definedName>
    <definedName name="IQ_COMMON">"c182"</definedName>
    <definedName name="IQ_COMMON_APIC">"c183"</definedName>
    <definedName name="IQ_COMMON_APIC_BNK">"c184"</definedName>
    <definedName name="IQ_COMMON_APIC_BR">"c185"</definedName>
    <definedName name="IQ_COMMON_APIC_FIN">"c186"</definedName>
    <definedName name="IQ_COMMON_APIC_INS">"c187"</definedName>
    <definedName name="IQ_COMMON_APIC_RE">"c6202"</definedName>
    <definedName name="IQ_COMMON_APIC_REIT">"c188"</definedName>
    <definedName name="IQ_COMMON_APIC_UTI">"c189"</definedName>
    <definedName name="IQ_COMMON_DIV">"c3006"</definedName>
    <definedName name="IQ_COMMON_DIV_CF">"c190"</definedName>
    <definedName name="IQ_COMMON_EQUITY_10YR_ANN_CAGR">"c6060"</definedName>
    <definedName name="IQ_COMMON_EQUITY_10YR_ANN_GROWTH">"c191"</definedName>
    <definedName name="IQ_COMMON_EQUITY_1YR_ANN_GROWTH">"c192"</definedName>
    <definedName name="IQ_COMMON_EQUITY_2YR_ANN_CAGR">"c6061"</definedName>
    <definedName name="IQ_COMMON_EQUITY_2YR_ANN_GROWTH">"c193"</definedName>
    <definedName name="IQ_COMMON_EQUITY_3YR_ANN_CAGR">"c6062"</definedName>
    <definedName name="IQ_COMMON_EQUITY_3YR_ANN_GROWTH">"c194"</definedName>
    <definedName name="IQ_COMMON_EQUITY_5YR_ANN_CAGR">"c6063"</definedName>
    <definedName name="IQ_COMMON_EQUITY_5YR_ANN_GROWTH">"c195"</definedName>
    <definedName name="IQ_COMMON_EQUITY_7YR_ANN_CAGR">"c6064"</definedName>
    <definedName name="IQ_COMMON_EQUITY_7YR_ANN_GROWTH">"c196"</definedName>
    <definedName name="IQ_COMMON_ISSUED">"c197"</definedName>
    <definedName name="IQ_COMMON_ISSUED_BNK">"c198"</definedName>
    <definedName name="IQ_COMMON_ISSUED_BR">"c199"</definedName>
    <definedName name="IQ_COMMON_ISSUED_FIN">"c200"</definedName>
    <definedName name="IQ_COMMON_ISSUED_INS">"c201"</definedName>
    <definedName name="IQ_COMMON_ISSUED_RE">"c6203"</definedName>
    <definedName name="IQ_COMMON_ISSUED_REIT">"c202"</definedName>
    <definedName name="IQ_COMMON_ISSUED_UTI">"c203"</definedName>
    <definedName name="IQ_COMMON_PER_ADR">"c204"</definedName>
    <definedName name="IQ_COMMON_PREF_DIV_CF">"c205"</definedName>
    <definedName name="IQ_COMMON_REP">"c206"</definedName>
    <definedName name="IQ_COMMON_REP_BNK">"c207"</definedName>
    <definedName name="IQ_COMMON_REP_BR">"c208"</definedName>
    <definedName name="IQ_COMMON_REP_FIN">"c209"</definedName>
    <definedName name="IQ_COMMON_REP_INS">"c210"</definedName>
    <definedName name="IQ_COMMON_REP_RE">"c6204"</definedName>
    <definedName name="IQ_COMMON_REP_REIT">"c211"</definedName>
    <definedName name="IQ_COMMON_REP_UTI">"c212"</definedName>
    <definedName name="IQ_COMMON_STOCK">"c1358"</definedName>
    <definedName name="IQ_COMP_BENEFITS">"c213"</definedName>
    <definedName name="IQ_COMPANY_ADDRESS">"c214"</definedName>
    <definedName name="IQ_COMPANY_ID">"c3513"</definedName>
    <definedName name="IQ_COMPANY_NAME">"c215"</definedName>
    <definedName name="IQ_COMPANY_NAME_LONG">"c1585"</definedName>
    <definedName name="IQ_COMPANY_PHONE">"c216"</definedName>
    <definedName name="IQ_COMPANY_STATUS">"c2097"</definedName>
    <definedName name="IQ_COMPANY_STREET1">"c217"</definedName>
    <definedName name="IQ_COMPANY_STREET2">"c218"</definedName>
    <definedName name="IQ_COMPANY_TICKER">"c219"</definedName>
    <definedName name="IQ_COMPANY_TYPE">"c2096"</definedName>
    <definedName name="IQ_COMPANY_WEBSITE">"c220"</definedName>
    <definedName name="IQ_COMPANY_ZIP">"c221"</definedName>
    <definedName name="IQ_CONSTRUCTION_LOANS">"c222"</definedName>
    <definedName name="IQ_CONSUMER_LOANS">"c223"</definedName>
    <definedName name="IQ_CONV_DATE">"c2191"</definedName>
    <definedName name="IQ_CONV_EXP_DATE">"c3043"</definedName>
    <definedName name="IQ_CONV_PREMIUM">"c2195"</definedName>
    <definedName name="IQ_CONV_PRICE">"c2193"</definedName>
    <definedName name="IQ_CONV_RATIO">"c2192"</definedName>
    <definedName name="IQ_CONV_SECURITY">"c2189"</definedName>
    <definedName name="IQ_CONV_SECURITY_ISSUER">"c2190"</definedName>
    <definedName name="IQ_CONV_SECURITY_PRICE">"c2194"</definedName>
    <definedName name="IQ_CONVERT">"c2536"</definedName>
    <definedName name="IQ_CONVERT_PCT">"c2537"</definedName>
    <definedName name="IQ_CONVEXITY">"c2182"</definedName>
    <definedName name="IQ_COST_BORROWING">"c2936"</definedName>
    <definedName name="IQ_COST_BORROWINGS">"c225"</definedName>
    <definedName name="IQ_COST_REV">"c226"</definedName>
    <definedName name="IQ_COST_REVENUE">"c1359"</definedName>
    <definedName name="IQ_COST_SAVINGS">"c227"</definedName>
    <definedName name="IQ_COST_SERVICE">"c228"</definedName>
    <definedName name="IQ_COST_TOTAL_BORROWINGS">"c229"</definedName>
    <definedName name="IQ_COUNTRY_NAME">"c230"</definedName>
    <definedName name="IQ_COVERED_POPS">"c2124"</definedName>
    <definedName name="IQ_CP">"c2495"</definedName>
    <definedName name="IQ_CP_PCT">"c2496"</definedName>
    <definedName name="IQ_CQ">5000</definedName>
    <definedName name="IQ_CREDIT_CARD_FEE_BNK">"c231"</definedName>
    <definedName name="IQ_CREDIT_CARD_FEE_FIN">"c1583"</definedName>
    <definedName name="IQ_CREDIT_LOSS_CF">"c232"</definedName>
    <definedName name="IQ_CUMULATIVE_SPLIT_FACTOR">"c2094"</definedName>
    <definedName name="IQ_CURR_DOMESTIC_TAXES">"c2074"</definedName>
    <definedName name="IQ_CURR_FOREIGN_TAXES">"c2075"</definedName>
    <definedName name="IQ_CURRENCY_FACTOR_BS">"c233"</definedName>
    <definedName name="IQ_CURRENCY_FACTOR_IS">"c234"</definedName>
    <definedName name="IQ_CURRENCY_GAIN">"c235"</definedName>
    <definedName name="IQ_CURRENCY_GAIN_BR">"c236"</definedName>
    <definedName name="IQ_CURRENCY_GAIN_FIN">"c237"</definedName>
    <definedName name="IQ_CURRENCY_GAIN_INS">"c238"</definedName>
    <definedName name="IQ_CURRENCY_GAIN_RE">"c6205"</definedName>
    <definedName name="IQ_CURRENCY_GAIN_REIT">"c239"</definedName>
    <definedName name="IQ_CURRENCY_GAIN_UTI">"c240"</definedName>
    <definedName name="IQ_CURRENT_PORT">"c241"</definedName>
    <definedName name="IQ_CURRENT_PORT_BNK">"c242"</definedName>
    <definedName name="IQ_CURRENT_PORT_DEBT">"c243"</definedName>
    <definedName name="IQ_CURRENT_PORT_DEBT_BNK">"c244"</definedName>
    <definedName name="IQ_CURRENT_PORT_DEBT_BR">"c1567"</definedName>
    <definedName name="IQ_CURRENT_PORT_DEBT_FIN">"c1568"</definedName>
    <definedName name="IQ_CURRENT_PORT_DEBT_INS">"c1569"</definedName>
    <definedName name="IQ_CURRENT_PORT_DEBT_RE">"c6283"</definedName>
    <definedName name="IQ_CURRENT_PORT_DEBT_REIT">"c1570"</definedName>
    <definedName name="IQ_CURRENT_PORT_DEBT_UTI">"c1571"</definedName>
    <definedName name="IQ_CURRENT_PORT_FHLB_DEBT">"c5657"</definedName>
    <definedName name="IQ_CURRENT_PORT_LEASES">"c245"</definedName>
    <definedName name="IQ_CURRENT_PORT_PCT">"c2541"</definedName>
    <definedName name="IQ_CURRENT_RATIO">"c246"</definedName>
    <definedName name="IQ_CUSIP">"c2245"</definedName>
    <definedName name="IQ_CY">10000</definedName>
    <definedName name="IQ_DA">"c247"</definedName>
    <definedName name="IQ_DA_BR">"c248"</definedName>
    <definedName name="IQ_DA_CF">"c249"</definedName>
    <definedName name="IQ_DA_CF_BNK">"c250"</definedName>
    <definedName name="IQ_DA_CF_BR">"c251"</definedName>
    <definedName name="IQ_DA_CF_FIN">"c252"</definedName>
    <definedName name="IQ_DA_CF_INS">"c253"</definedName>
    <definedName name="IQ_DA_CF_RE">"c6206"</definedName>
    <definedName name="IQ_DA_CF_REIT">"c254"</definedName>
    <definedName name="IQ_DA_CF_UTI">"c255"</definedName>
    <definedName name="IQ_DA_EBITDA">"c5528"</definedName>
    <definedName name="IQ_DA_FIN">"c256"</definedName>
    <definedName name="IQ_DA_INS">"c257"</definedName>
    <definedName name="IQ_DA_RE">"c6207"</definedName>
    <definedName name="IQ_DA_REIT">"c258"</definedName>
    <definedName name="IQ_DA_SUPPL">"c259"</definedName>
    <definedName name="IQ_DA_SUPPL_BR">"c260"</definedName>
    <definedName name="IQ_DA_SUPPL_CF">"c261"</definedName>
    <definedName name="IQ_DA_SUPPL_CF_BNK">"c262"</definedName>
    <definedName name="IQ_DA_SUPPL_CF_BR">"c263"</definedName>
    <definedName name="IQ_DA_SUPPL_CF_FIN">"c264"</definedName>
    <definedName name="IQ_DA_SUPPL_CF_INS">"c265"</definedName>
    <definedName name="IQ_DA_SUPPL_CF_RE">"c6208"</definedName>
    <definedName name="IQ_DA_SUPPL_CF_REIT">"c266"</definedName>
    <definedName name="IQ_DA_SUPPL_CF_UTI">"c267"</definedName>
    <definedName name="IQ_DA_SUPPL_FIN">"c268"</definedName>
    <definedName name="IQ_DA_SUPPL_INS">"c269"</definedName>
    <definedName name="IQ_DA_SUPPL_RE">"c6209"</definedName>
    <definedName name="IQ_DA_SUPPL_REIT">"c270"</definedName>
    <definedName name="IQ_DA_SUPPL_UTI">"c271"</definedName>
    <definedName name="IQ_DA_UTI">"c272"</definedName>
    <definedName name="IQ_DATED_DATE">"c2185"</definedName>
    <definedName name="IQ_DAY_COUNT">"c2161"</definedName>
    <definedName name="IQ_DAYS_COVER_SHORT">"c1578"</definedName>
    <definedName name="IQ_DAYS_INVENTORY_OUT">"c273"</definedName>
    <definedName name="IQ_DAYS_PAY_OUTST">"c1362"</definedName>
    <definedName name="IQ_DAYS_PAYABLE_OUT">"c274"</definedName>
    <definedName name="IQ_DAYS_SALES_OUT">"c275"</definedName>
    <definedName name="IQ_DAYS_SALES_OUTST">"c1363"</definedName>
    <definedName name="IQ_DEBT_ADJ">"c2515"</definedName>
    <definedName name="IQ_DEBT_ADJ_PCT">"c2516"</definedName>
    <definedName name="IQ_DEBT_EQUITY_EST">"c4257"</definedName>
    <definedName name="IQ_DEBT_EQUITY_HIGH_EST">"c4258"</definedName>
    <definedName name="IQ_DEBT_EQUITY_LOW_EST">"c4259"</definedName>
    <definedName name="IQ_DEBT_EQUITY_MEDIAN_EST">"c4260"</definedName>
    <definedName name="IQ_DEBT_EQUITY_NUM_EST">"c4261"</definedName>
    <definedName name="IQ_DEBT_EQUITY_STDDEV_EST">"c4262"</definedName>
    <definedName name="IQ_DEBT_EQUIV_NET_PBO">"c2938"</definedName>
    <definedName name="IQ_DEBT_EQUIV_OPER_LEASE">"c2935"</definedName>
    <definedName name="IQ_DEF_ACQ_CST">"c1364"</definedName>
    <definedName name="IQ_DEF_AMORT">"c276"</definedName>
    <definedName name="IQ_DEF_AMORT_BNK">"c277"</definedName>
    <definedName name="IQ_DEF_AMORT_BR">"c278"</definedName>
    <definedName name="IQ_DEF_AMORT_FIN">"c279"</definedName>
    <definedName name="IQ_DEF_AMORT_INS">"c280"</definedName>
    <definedName name="IQ_DEF_AMORT_REIT">"c281"</definedName>
    <definedName name="IQ_DEF_AMORT_UTI">"c282"</definedName>
    <definedName name="IQ_DEF_BENEFIT_INTEREST_COST">"c283"</definedName>
    <definedName name="IQ_DEF_BENEFIT_INTEREST_COST_DOMESTIC">"c2652"</definedName>
    <definedName name="IQ_DEF_BENEFIT_INTEREST_COST_FOREIGN">"c2660"</definedName>
    <definedName name="IQ_DEF_BENEFIT_OTHER_COST">"c284"</definedName>
    <definedName name="IQ_DEF_BENEFIT_OTHER_COST_DOMESTIC">"c2654"</definedName>
    <definedName name="IQ_DEF_BENEFIT_OTHER_COST_FOREIGN">"c2662"</definedName>
    <definedName name="IQ_DEF_BENEFIT_ROA">"c285"</definedName>
    <definedName name="IQ_DEF_BENEFIT_ROA_DOMESTIC">"c2653"</definedName>
    <definedName name="IQ_DEF_BENEFIT_ROA_FOREIGN">"c2661"</definedName>
    <definedName name="IQ_DEF_BENEFIT_SERVICE_COST">"c286"</definedName>
    <definedName name="IQ_DEF_BENEFIT_SERVICE_COST_DOMESTIC">"c2651"</definedName>
    <definedName name="IQ_DEF_BENEFIT_SERVICE_COST_FOREIGN">"c2659"</definedName>
    <definedName name="IQ_DEF_BENEFIT_TOTAL_COST">"c287"</definedName>
    <definedName name="IQ_DEF_BENEFIT_TOTAL_COST_DOMESTIC">"c2655"</definedName>
    <definedName name="IQ_DEF_BENEFIT_TOTAL_COST_FOREIGN">"c2663"</definedName>
    <definedName name="IQ_DEF_CHARGES_BR">"c288"</definedName>
    <definedName name="IQ_DEF_CHARGES_CF">"c289"</definedName>
    <definedName name="IQ_DEF_CHARGES_FIN">"c290"</definedName>
    <definedName name="IQ_DEF_CHARGES_INS">"c291"</definedName>
    <definedName name="IQ_DEF_CHARGES_LT">"c292"</definedName>
    <definedName name="IQ_DEF_CHARGES_LT_BNK">"c293"</definedName>
    <definedName name="IQ_DEF_CHARGES_LT_BR">"c294"</definedName>
    <definedName name="IQ_DEF_CHARGES_LT_FIN">"c295"</definedName>
    <definedName name="IQ_DEF_CHARGES_LT_INS">"c296"</definedName>
    <definedName name="IQ_DEF_CHARGES_LT_RE">"c6210"</definedName>
    <definedName name="IQ_DEF_CHARGES_LT_REIT">"c297"</definedName>
    <definedName name="IQ_DEF_CHARGES_LT_UTI">"c298"</definedName>
    <definedName name="IQ_DEF_CHARGES_RE">"c6211"</definedName>
    <definedName name="IQ_DEF_CHARGES_REIT">"c299"</definedName>
    <definedName name="IQ_DEF_CONTRIBUTION_TOTAL_COST">"c300"</definedName>
    <definedName name="IQ_DEF_INC_TAX">"c1365"</definedName>
    <definedName name="IQ_DEF_POLICY_ACQ_COSTS">"c301"</definedName>
    <definedName name="IQ_DEF_POLICY_ACQ_COSTS_CF">"c302"</definedName>
    <definedName name="IQ_DEF_POLICY_AMORT">"c303"</definedName>
    <definedName name="IQ_DEF_TAX_ASSET_LT_BR">"c304"</definedName>
    <definedName name="IQ_DEF_TAX_ASSET_LT_FIN">"c305"</definedName>
    <definedName name="IQ_DEF_TAX_ASSET_LT_INS">"c306"</definedName>
    <definedName name="IQ_DEF_TAX_ASSET_LT_RE">"c6212"</definedName>
    <definedName name="IQ_DEF_TAX_ASSET_LT_REIT">"c307"</definedName>
    <definedName name="IQ_DEF_TAX_ASSET_LT_UTI">"c308"</definedName>
    <definedName name="IQ_DEF_TAX_ASSETS_CURRENT">"c309"</definedName>
    <definedName name="IQ_DEF_TAX_ASSETS_LT">"c310"</definedName>
    <definedName name="IQ_DEF_TAX_ASSETS_LT_BNK">"c311"</definedName>
    <definedName name="IQ_DEF_TAX_LIAB_CURRENT">"c312"</definedName>
    <definedName name="IQ_DEF_TAX_LIAB_LT">"c313"</definedName>
    <definedName name="IQ_DEF_TAX_LIAB_LT_BNK">"c314"</definedName>
    <definedName name="IQ_DEF_TAX_LIAB_LT_BR">"c315"</definedName>
    <definedName name="IQ_DEF_TAX_LIAB_LT_FIN">"c316"</definedName>
    <definedName name="IQ_DEF_TAX_LIAB_LT_INS">"c317"</definedName>
    <definedName name="IQ_DEF_TAX_LIAB_LT_RE">"c6213"</definedName>
    <definedName name="IQ_DEF_TAX_LIAB_LT_REIT">"c318"</definedName>
    <definedName name="IQ_DEF_TAX_LIAB_LT_UTI">"c319"</definedName>
    <definedName name="IQ_DEFERRED_DOMESTIC_TAXES">"c2077"</definedName>
    <definedName name="IQ_DEFERRED_FOREIGN_TAXES">"c2078"</definedName>
    <definedName name="IQ_DEFERRED_INC_TAX">"c1447"</definedName>
    <definedName name="IQ_DEFERRED_TAXES">"c1356"</definedName>
    <definedName name="IQ_DEMAND_DEP">"c320"</definedName>
    <definedName name="IQ_DEPOSITS_FIN">"c321"</definedName>
    <definedName name="IQ_DEPOSITS_INTEREST_SECURITIES">"c5509"</definedName>
    <definedName name="IQ_DEPRE_AMORT">"c1360"</definedName>
    <definedName name="IQ_DEPRE_AMORT_SUPPL">"c1593"</definedName>
    <definedName name="IQ_DEPRE_DEPLE">"c1361"</definedName>
    <definedName name="IQ_DEPRE_SUPP">"c1443"</definedName>
    <definedName name="IQ_DESCRIPTION_LONG">"c1520"</definedName>
    <definedName name="IQ_DEVELOP_LAND">"c323"</definedName>
    <definedName name="IQ_DIFF_LASTCLOSE_TARGET_PRICE">"c1854"</definedName>
    <definedName name="IQ_DIFF_LASTCLOSE_TARGET_PRICE_REUT">"c5436"</definedName>
    <definedName name="IQ_DILUT_ADJUST">"c1621"</definedName>
    <definedName name="IQ_DILUT_EPS_EXCL">"c324"</definedName>
    <definedName name="IQ_DILUT_EPS_INCL">"c325"</definedName>
    <definedName name="IQ_DILUT_EPS_NORM">"c1903"</definedName>
    <definedName name="IQ_DILUT_NI">"c2079"</definedName>
    <definedName name="IQ_DILUT_NORMAL_EPS">"c1594"</definedName>
    <definedName name="IQ_DILUT_OUTSTANDING_CURRENT_EST">"c4263"</definedName>
    <definedName name="IQ_DILUT_OUTSTANDING_CURRENT_HIGH_EST">"c4264"</definedName>
    <definedName name="IQ_DILUT_OUTSTANDING_CURRENT_LOW_EST">"c4265"</definedName>
    <definedName name="IQ_DILUT_OUTSTANDING_CURRENT_MEDIAN_EST">"c4266"</definedName>
    <definedName name="IQ_DILUT_OUTSTANDING_CURRENT_NUM_EST">"c4267"</definedName>
    <definedName name="IQ_DILUT_OUTSTANDING_CURRENT_STDDEV_EST">"c4268"</definedName>
    <definedName name="IQ_DILUT_WEIGHT">"c326"</definedName>
    <definedName name="IQ_DILUT_WEIGHT_EST">"c4269"</definedName>
    <definedName name="IQ_DILUT_WEIGHT_GUIDANCE">"c4270"</definedName>
    <definedName name="IQ_DILUT_WEIGHT_HIGH_EST">"c4271"</definedName>
    <definedName name="IQ_DILUT_WEIGHT_LOW_EST">"c4272"</definedName>
    <definedName name="IQ_DILUT_WEIGHT_MEDIAN_EST">"c4273"</definedName>
    <definedName name="IQ_DILUT_WEIGHT_NUM_EST">"c4274"</definedName>
    <definedName name="IQ_DILUT_WEIGHT_STDDEV_EST">"c4275"</definedName>
    <definedName name="IQ_DIRECT_AH_EARNED">"c2740"</definedName>
    <definedName name="IQ_DIRECT_EARNED">"c2730"</definedName>
    <definedName name="IQ_DIRECT_LIFE_EARNED">"c2735"</definedName>
    <definedName name="IQ_DIRECT_LIFE_IN_FORCE">"c2765"</definedName>
    <definedName name="IQ_DIRECT_PC_EARNED">"c2745"</definedName>
    <definedName name="IQ_DIRECT_WRITTEN">"c2724"</definedName>
    <definedName name="IQ_DISCONT_OPER">"c1367"</definedName>
    <definedName name="IQ_DISCOUNT_RATE_PENSION_DOMESTIC">"c327"</definedName>
    <definedName name="IQ_DISCOUNT_RATE_PENSION_FOREIGN">"c328"</definedName>
    <definedName name="IQ_DISTR_EXCESS_EARN">"c329"</definedName>
    <definedName name="IQ_DISTRIBUTABLE_CASH">"c3002"</definedName>
    <definedName name="IQ_DISTRIBUTABLE_CASH_ACT_OR_EST">"c4278"</definedName>
    <definedName name="IQ_DISTRIBUTABLE_CASH_EST">"c4277"</definedName>
    <definedName name="IQ_DISTRIBUTABLE_CASH_GUIDANCE">"c4279"</definedName>
    <definedName name="IQ_DISTRIBUTABLE_CASH_HIGH_EST">"c4280"</definedName>
    <definedName name="IQ_DISTRIBUTABLE_CASH_HIGH_GUIDANCE">"c4198"</definedName>
    <definedName name="IQ_DISTRIBUTABLE_CASH_LOW_EST">"c4281"</definedName>
    <definedName name="IQ_DISTRIBUTABLE_CASH_LOW_GUIDANCE">"c4238"</definedName>
    <definedName name="IQ_DISTRIBUTABLE_CASH_MEDIAN_EST">"c4282"</definedName>
    <definedName name="IQ_DISTRIBUTABLE_CASH_NUM_EST">"c4283"</definedName>
    <definedName name="IQ_DISTRIBUTABLE_CASH_PAYOUT">"c3005"</definedName>
    <definedName name="IQ_DISTRIBUTABLE_CASH_SHARE">"c3003"</definedName>
    <definedName name="IQ_DISTRIBUTABLE_CASH_SHARE_ACT_OR_EST">"c4286"</definedName>
    <definedName name="IQ_DISTRIBUTABLE_CASH_SHARE_EST">"c4285"</definedName>
    <definedName name="IQ_DISTRIBUTABLE_CASH_SHARE_GUIDANCE">"c4287"</definedName>
    <definedName name="IQ_DISTRIBUTABLE_CASH_SHARE_HIGH_EST">"c4288"</definedName>
    <definedName name="IQ_DISTRIBUTABLE_CASH_SHARE_HIGH_GUIDANCE">"c4199"</definedName>
    <definedName name="IQ_DISTRIBUTABLE_CASH_SHARE_LOW_EST">"c4289"</definedName>
    <definedName name="IQ_DISTRIBUTABLE_CASH_SHARE_LOW_GUIDANCE">"c4239"</definedName>
    <definedName name="IQ_DISTRIBUTABLE_CASH_SHARE_MEDIAN_EST">"c4290"</definedName>
    <definedName name="IQ_DISTRIBUTABLE_CASH_SHARE_NUM_EST">"c4291"</definedName>
    <definedName name="IQ_DISTRIBUTABLE_CASH_SHARE_STDDEV_EST">"c4292"</definedName>
    <definedName name="IQ_DISTRIBUTABLE_CASH_STDDEV_EST">"c4294"</definedName>
    <definedName name="IQ_DIV_AMOUNT">"c3041"</definedName>
    <definedName name="IQ_DIV_PAYMENT_DATE">"c2205"</definedName>
    <definedName name="IQ_DIV_RECORD_DATE">"c2204"</definedName>
    <definedName name="IQ_DIV_SHARE">"c330"</definedName>
    <definedName name="IQ_DIVEST_CF">"c331"</definedName>
    <definedName name="IQ_DIVID_SHARE">"c1366"</definedName>
    <definedName name="IQ_DIVIDEND_EST">"c4296"</definedName>
    <definedName name="IQ_DIVIDEND_HIGH_EST">"c4297"</definedName>
    <definedName name="IQ_DIVIDEND_LOW_EST">"c4298"</definedName>
    <definedName name="IQ_DIVIDEND_MEDIAN_EST">"c4299"</definedName>
    <definedName name="IQ_DIVIDEND_NUM_EST">"c4300"</definedName>
    <definedName name="IQ_DIVIDEND_STDDEV_EST">"c4301"</definedName>
    <definedName name="IQ_DIVIDEND_YIELD">"c332"</definedName>
    <definedName name="IQ_DNTM">700000</definedName>
    <definedName name="IQ_DO">"c333"</definedName>
    <definedName name="IQ_DO_ASSETS_CURRENT">"c334"</definedName>
    <definedName name="IQ_DO_ASSETS_LT">"c335"</definedName>
    <definedName name="IQ_DO_CF">"c336"</definedName>
    <definedName name="IQ_DOC_CLAUSE">"c6032"</definedName>
    <definedName name="IQ_DPAC_ACC">"c2799"</definedName>
    <definedName name="IQ_DPAC_AMORT">"c2795"</definedName>
    <definedName name="IQ_DPAC_BEG">"c2791"</definedName>
    <definedName name="IQ_DPAC_COMMISSIONS">"c2792"</definedName>
    <definedName name="IQ_DPAC_END">"c2801"</definedName>
    <definedName name="IQ_DPAC_FX">"c2798"</definedName>
    <definedName name="IQ_DPAC_OTHER_ADJ">"c2800"</definedName>
    <definedName name="IQ_DPAC_OTHERS">"c2793"</definedName>
    <definedName name="IQ_DPAC_PERIOD">"c2794"</definedName>
    <definedName name="IQ_DPAC_REAL_GAIN">"c2797"</definedName>
    <definedName name="IQ_DPAC_UNREAL_GAIN">"c2796"</definedName>
    <definedName name="IQ_DPS_10YR_ANN_CAGR">"c6065"</definedName>
    <definedName name="IQ_DPS_10YR_ANN_GROWTH">"c337"</definedName>
    <definedName name="IQ_DPS_1YR_ANN_GROWTH">"c338"</definedName>
    <definedName name="IQ_DPS_2YR_ANN_CAGR">"c6066"</definedName>
    <definedName name="IQ_DPS_2YR_ANN_GROWTH">"c339"</definedName>
    <definedName name="IQ_DPS_3YR_ANN_CAGR">"c6067"</definedName>
    <definedName name="IQ_DPS_3YR_ANN_GROWTH">"c340"</definedName>
    <definedName name="IQ_DPS_5YR_ANN_CAGR">"c6068"</definedName>
    <definedName name="IQ_DPS_5YR_ANN_GROWTH">"c341"</definedName>
    <definedName name="IQ_DPS_7YR_ANN_CAGR">"c6069"</definedName>
    <definedName name="IQ_DPS_7YR_ANN_GROWTH">"c342"</definedName>
    <definedName name="IQ_DPS_ACT_OR_EST">"c2218"</definedName>
    <definedName name="IQ_DPS_ACT_OR_EST_REUT">"c5464"</definedName>
    <definedName name="IQ_DPS_EST">"c1674"</definedName>
    <definedName name="IQ_DPS_EST_BOTTOM_UP">"c5493"</definedName>
    <definedName name="IQ_DPS_EST_BOTTOM_UP_REUT">"c5501"</definedName>
    <definedName name="IQ_DPS_EST_REUT">"c3851"</definedName>
    <definedName name="IQ_DPS_GUIDANCE">"c4302"</definedName>
    <definedName name="IQ_DPS_HIGH_EST">"c1676"</definedName>
    <definedName name="IQ_DPS_HIGH_EST_REUT">"c3853"</definedName>
    <definedName name="IQ_DPS_HIGH_GUIDANCE">"c4168"</definedName>
    <definedName name="IQ_DPS_LOW_EST">"c1677"</definedName>
    <definedName name="IQ_DPS_LOW_EST_REUT">"c3854"</definedName>
    <definedName name="IQ_DPS_LOW_GUIDANCE">"c4208"</definedName>
    <definedName name="IQ_DPS_MEDIAN_EST">"c1675"</definedName>
    <definedName name="IQ_DPS_MEDIAN_EST_REUT">"c3852"</definedName>
    <definedName name="IQ_DPS_NUM_EST">"c1678"</definedName>
    <definedName name="IQ_DPS_NUM_EST_REUT">"c3855"</definedName>
    <definedName name="IQ_DPS_STDDEV_EST">"c1679"</definedName>
    <definedName name="IQ_DPS_STDDEV_EST_REUT">"c3856"</definedName>
    <definedName name="IQ_DURATION">"c2181"</definedName>
    <definedName name="IQ_EARNING_ASSET_YIELD">"c343"</definedName>
    <definedName name="IQ_EARNING_CO">"c344"</definedName>
    <definedName name="IQ_EARNING_CO_10YR_ANN_CAGR">"c6070"</definedName>
    <definedName name="IQ_EARNING_CO_10YR_ANN_GROWTH">"c345"</definedName>
    <definedName name="IQ_EARNING_CO_1YR_ANN_GROWTH">"c346"</definedName>
    <definedName name="IQ_EARNING_CO_2YR_ANN_CAGR">"c6071"</definedName>
    <definedName name="IQ_EARNING_CO_2YR_ANN_GROWTH">"c347"</definedName>
    <definedName name="IQ_EARNING_CO_3YR_ANN_CAGR">"c6072"</definedName>
    <definedName name="IQ_EARNING_CO_3YR_ANN_GROWTH">"c348"</definedName>
    <definedName name="IQ_EARNING_CO_5YR_ANN_CAGR">"c6073"</definedName>
    <definedName name="IQ_EARNING_CO_5YR_ANN_GROWTH">"c349"</definedName>
    <definedName name="IQ_EARNING_CO_7YR_ANN_CAGR">"c6074"</definedName>
    <definedName name="IQ_EARNING_CO_7YR_ANN_GROWTH">"c350"</definedName>
    <definedName name="IQ_EARNING_CO_MARGIN">"c351"</definedName>
    <definedName name="IQ_EARNINGS_ANNOUNCE_DATE">"c1649"</definedName>
    <definedName name="IQ_EARNINGS_ANNOUNCE_DATE_REUT">"c5314"</definedName>
    <definedName name="IQ_EBIT">"c352"</definedName>
    <definedName name="IQ_EBIT_10YR_ANN_CAGR">"c6075"</definedName>
    <definedName name="IQ_EBIT_10YR_ANN_GROWTH">"c353"</definedName>
    <definedName name="IQ_EBIT_1YR_ANN_GROWTH">"c354"</definedName>
    <definedName name="IQ_EBIT_2YR_ANN_CAGR">"c6076"</definedName>
    <definedName name="IQ_EBIT_2YR_ANN_GROWTH">"c355"</definedName>
    <definedName name="IQ_EBIT_3YR_ANN_CAGR">"c6077"</definedName>
    <definedName name="IQ_EBIT_3YR_ANN_GROWTH">"c356"</definedName>
    <definedName name="IQ_EBIT_5YR_ANN_CAGR">"c6078"</definedName>
    <definedName name="IQ_EBIT_5YR_ANN_GROWTH">"c357"</definedName>
    <definedName name="IQ_EBIT_7YR_ANN_CAGR">"c6079"</definedName>
    <definedName name="IQ_EBIT_7YR_ANN_GROWTH">"c358"</definedName>
    <definedName name="IQ_EBIT_ACT_OR_EST">"c2219"</definedName>
    <definedName name="IQ_EBIT_ACT_OR_EST_REUT">"c5465"</definedName>
    <definedName name="IQ_EBIT_EQ_INC">"c3498"</definedName>
    <definedName name="IQ_EBIT_EQ_INC_EXCL_SBC">"c3502"</definedName>
    <definedName name="IQ_EBIT_EST">"c1681"</definedName>
    <definedName name="IQ_EBIT_EST_REUT">"c5333"</definedName>
    <definedName name="IQ_EBIT_EXCL_SBC">"c3082"</definedName>
    <definedName name="IQ_EBIT_GUIDANCE">"c4303"</definedName>
    <definedName name="IQ_EBIT_GW_ACT_OR_EST">"c4306"</definedName>
    <definedName name="IQ_EBIT_GW_EST">"c4305"</definedName>
    <definedName name="IQ_EBIT_GW_GUIDANCE">"c4307"</definedName>
    <definedName name="IQ_EBIT_GW_HIGH_EST">"c4308"</definedName>
    <definedName name="IQ_EBIT_GW_HIGH_GUIDANCE">"c4171"</definedName>
    <definedName name="IQ_EBIT_GW_LOW_EST">"c4309"</definedName>
    <definedName name="IQ_EBIT_GW_LOW_GUIDANCE">"c4211"</definedName>
    <definedName name="IQ_EBIT_GW_MEDIAN_EST">"c4310"</definedName>
    <definedName name="IQ_EBIT_GW_NUM_EST">"c4311"</definedName>
    <definedName name="IQ_EBIT_GW_STDDEV_EST">"c4312"</definedName>
    <definedName name="IQ_EBIT_HIGH_EST">"c1683"</definedName>
    <definedName name="IQ_EBIT_HIGH_EST_REUT">"c5335"</definedName>
    <definedName name="IQ_EBIT_HIGH_GUIDANCE">"c4172"</definedName>
    <definedName name="IQ_EBIT_INT">"c360"</definedName>
    <definedName name="IQ_EBIT_LOW_EST">"c1684"</definedName>
    <definedName name="IQ_EBIT_LOW_EST_REUT">"c5336"</definedName>
    <definedName name="IQ_EBIT_LOW_GUIDANCE">"c4212"</definedName>
    <definedName name="IQ_EBIT_MARGIN">"c359"</definedName>
    <definedName name="IQ_EBIT_MEDIAN_EST">"c1682"</definedName>
    <definedName name="IQ_EBIT_MEDIAN_EST_REUT">"c5334"</definedName>
    <definedName name="IQ_EBIT_NUM_EST">"c1685"</definedName>
    <definedName name="IQ_EBIT_NUM_EST_REUT">"c5337"</definedName>
    <definedName name="IQ_EBIT_OVER_IE">"c1369"</definedName>
    <definedName name="IQ_EBIT_SBC_ACT_OR_EST">"c4316"</definedName>
    <definedName name="IQ_EBIT_SBC_EST">"c4315"</definedName>
    <definedName name="IQ_EBIT_SBC_GUIDANCE">"c4317"</definedName>
    <definedName name="IQ_EBIT_SBC_GW_ACT_OR_EST">"c4320"</definedName>
    <definedName name="IQ_EBIT_SBC_GW_EST">"c4319"</definedName>
    <definedName name="IQ_EBIT_SBC_GW_GUIDANCE">"c4321"</definedName>
    <definedName name="IQ_EBIT_SBC_GW_HIGH_EST">"c4322"</definedName>
    <definedName name="IQ_EBIT_SBC_GW_HIGH_GUIDANCE">"c4193"</definedName>
    <definedName name="IQ_EBIT_SBC_GW_LOW_EST">"c4323"</definedName>
    <definedName name="IQ_EBIT_SBC_GW_LOW_GUIDANCE">"c4233"</definedName>
    <definedName name="IQ_EBIT_SBC_GW_MEDIAN_EST">"c4324"</definedName>
    <definedName name="IQ_EBIT_SBC_GW_NUM_EST">"c4325"</definedName>
    <definedName name="IQ_EBIT_SBC_GW_STDDEV_EST">"c4326"</definedName>
    <definedName name="IQ_EBIT_SBC_HIGH_EST">"c4328"</definedName>
    <definedName name="IQ_EBIT_SBC_HIGH_GUIDANCE">"c4192"</definedName>
    <definedName name="IQ_EBIT_SBC_LOW_EST">"c4329"</definedName>
    <definedName name="IQ_EBIT_SBC_LOW_GUIDANCE">"c4232"</definedName>
    <definedName name="IQ_EBIT_SBC_MEDIAN_EST">"c4330"</definedName>
    <definedName name="IQ_EBIT_SBC_NUM_EST">"c4331"</definedName>
    <definedName name="IQ_EBIT_SBC_STDDEV_EST">"c4332"</definedName>
    <definedName name="IQ_EBIT_STDDEV_EST">"c1686"</definedName>
    <definedName name="IQ_EBIT_STDDEV_EST_REUT">"c5338"</definedName>
    <definedName name="IQ_EBITA">"c1910"</definedName>
    <definedName name="IQ_EBITA_10YR_ANN_CAGR">"c6184"</definedName>
    <definedName name="IQ_EBITA_10YR_ANN_GROWTH">"c1954"</definedName>
    <definedName name="IQ_EBITA_1YR_ANN_GROWTH">"c1949"</definedName>
    <definedName name="IQ_EBITA_2YR_ANN_CAGR">"c6180"</definedName>
    <definedName name="IQ_EBITA_2YR_ANN_GROWTH">"c1950"</definedName>
    <definedName name="IQ_EBITA_3YR_ANN_CAGR">"c6181"</definedName>
    <definedName name="IQ_EBITA_3YR_ANN_GROWTH">"c1951"</definedName>
    <definedName name="IQ_EBITA_5YR_ANN_CAGR">"c6182"</definedName>
    <definedName name="IQ_EBITA_5YR_ANN_GROWTH">"c1952"</definedName>
    <definedName name="IQ_EBITA_7YR_ANN_CAGR">"c6183"</definedName>
    <definedName name="IQ_EBITA_7YR_ANN_GROWTH">"c1953"</definedName>
    <definedName name="IQ_EBITA_EQ_INC">"c3497"</definedName>
    <definedName name="IQ_EBITA_EQ_INC_EXCL_SBC">"c3501"</definedName>
    <definedName name="IQ_EBITA_EXCL_SBC">"c3080"</definedName>
    <definedName name="IQ_EBITA_MARGIN">"c1963"</definedName>
    <definedName name="IQ_EBITDA">"c361"</definedName>
    <definedName name="IQ_EBITDA_10YR_ANN_CAGR">"c6080"</definedName>
    <definedName name="IQ_EBITDA_10YR_ANN_GROWTH">"c362"</definedName>
    <definedName name="IQ_EBITDA_1YR_ANN_GROWTH">"c363"</definedName>
    <definedName name="IQ_EBITDA_2YR_ANN_CAGR">"c6081"</definedName>
    <definedName name="IQ_EBITDA_2YR_ANN_GROWTH">"c364"</definedName>
    <definedName name="IQ_EBITDA_3YR_ANN_CAGR">"c6082"</definedName>
    <definedName name="IQ_EBITDA_3YR_ANN_GROWTH">"c365"</definedName>
    <definedName name="IQ_EBITDA_5YR_ANN_CAGR">"c6083"</definedName>
    <definedName name="IQ_EBITDA_5YR_ANN_GROWTH">"c366"</definedName>
    <definedName name="IQ_EBITDA_7YR_ANN_CAGR">"c6084"</definedName>
    <definedName name="IQ_EBITDA_7YR_ANN_GROWTH">"c367"</definedName>
    <definedName name="IQ_EBITDA_ACT_OR_EST">"c2215"</definedName>
    <definedName name="IQ_EBITDA_ACT_OR_EST_REUT">"c5462"</definedName>
    <definedName name="IQ_EBITDA_CAPEX_INT">"c368"</definedName>
    <definedName name="IQ_EBITDA_CAPEX_OVER_TOTAL_IE">"c1370"</definedName>
    <definedName name="IQ_EBITDA_EQ_INC">"c3496"</definedName>
    <definedName name="IQ_EBITDA_EQ_INC_EXCL_SBC">"c3500"</definedName>
    <definedName name="IQ_EBITDA_EST">"c369"</definedName>
    <definedName name="IQ_EBITDA_EST_REUT">"c3640"</definedName>
    <definedName name="IQ_EBITDA_EXCL_SBC">"c3081"</definedName>
    <definedName name="IQ_EBITDA_GUIDANCE">"c4334"</definedName>
    <definedName name="IQ_EBITDA_HIGH_EST">"c370"</definedName>
    <definedName name="IQ_EBITDA_HIGH_EST_REUT">"c3642"</definedName>
    <definedName name="IQ_EBITDA_HIGH_GUIDANCE">"c4170"</definedName>
    <definedName name="IQ_EBITDA_INT">"c373"</definedName>
    <definedName name="IQ_EBITDA_LOW_EST">"c371"</definedName>
    <definedName name="IQ_EBITDA_LOW_EST_REUT">"c3643"</definedName>
    <definedName name="IQ_EBITDA_LOW_GUIDANCE">"c4210"</definedName>
    <definedName name="IQ_EBITDA_MARGIN">"c372"</definedName>
    <definedName name="IQ_EBITDA_MEDIAN_EST">"c1663"</definedName>
    <definedName name="IQ_EBITDA_MEDIAN_EST_REUT">"c3641"</definedName>
    <definedName name="IQ_EBITDA_NUM_EST">"c374"</definedName>
    <definedName name="IQ_EBITDA_NUM_EST_REUT">"c3644"</definedName>
    <definedName name="IQ_EBITDA_OVER_TOTAL_IE">"c1371"</definedName>
    <definedName name="IQ_EBITDA_SBC_ACT_OR_EST">"c4337"</definedName>
    <definedName name="IQ_EBITDA_SBC_EST">"c4336"</definedName>
    <definedName name="IQ_EBITDA_SBC_GUIDANCE">"c4338"</definedName>
    <definedName name="IQ_EBITDA_SBC_HIGH_EST">"c4339"</definedName>
    <definedName name="IQ_EBITDA_SBC_HIGH_GUIDANCE">"c4194"</definedName>
    <definedName name="IQ_EBITDA_SBC_LOW_EST">"c4340"</definedName>
    <definedName name="IQ_EBITDA_SBC_LOW_GUIDANCE">"c4234"</definedName>
    <definedName name="IQ_EBITDA_SBC_MEDIAN_EST">"c4341"</definedName>
    <definedName name="IQ_EBITDA_SBC_NUM_EST">"c4342"</definedName>
    <definedName name="IQ_EBITDA_SBC_STDDEV_EST">"c4343"</definedName>
    <definedName name="IQ_EBITDA_STDDEV_EST">"c375"</definedName>
    <definedName name="IQ_EBITDA_STDDEV_EST_REUT">"c3645"</definedName>
    <definedName name="IQ_EBITDAR">"c2989"</definedName>
    <definedName name="IQ_EBITDAR_EQ_INC">"c3499"</definedName>
    <definedName name="IQ_EBITDAR_EQ_INC_EXCL_SBC">"c3503"</definedName>
    <definedName name="IQ_EBITDAR_EXCL_SBC">"c3083"</definedName>
    <definedName name="IQ_EBT">"c376"</definedName>
    <definedName name="IQ_EBT_BNK">"c377"</definedName>
    <definedName name="IQ_EBT_BR">"c378"</definedName>
    <definedName name="IQ_EBT_EXCL">"c379"</definedName>
    <definedName name="IQ_EBT_EXCL_BNK">"c380"</definedName>
    <definedName name="IQ_EBT_EXCL_BR">"c381"</definedName>
    <definedName name="IQ_EBT_EXCL_FIN">"c382"</definedName>
    <definedName name="IQ_EBT_EXCL_INS">"c383"</definedName>
    <definedName name="IQ_EBT_EXCL_MARGIN">"c1462"</definedName>
    <definedName name="IQ_EBT_EXCL_RE">"c6214"</definedName>
    <definedName name="IQ_EBT_EXCL_REIT">"c384"</definedName>
    <definedName name="IQ_EBT_EXCL_UTI">"c385"</definedName>
    <definedName name="IQ_EBT_FIN">"c386"</definedName>
    <definedName name="IQ_EBT_GAAP_GUIDANCE">"c4345"</definedName>
    <definedName name="IQ_EBT_GAAP_HIGH_GUIDANCE">"c4174"</definedName>
    <definedName name="IQ_EBT_GAAP_LOW_GUIDANCE">"c4214"</definedName>
    <definedName name="IQ_EBT_GUIDANCE">"c4346"</definedName>
    <definedName name="IQ_EBT_GW_GUIDANCE">"c4347"</definedName>
    <definedName name="IQ_EBT_GW_HIGH_GUIDANCE">"c4175"</definedName>
    <definedName name="IQ_EBT_GW_LOW_GUIDANCE">"c4215"</definedName>
    <definedName name="IQ_EBT_HIGH_GUIDANCE">"c4173"</definedName>
    <definedName name="IQ_EBT_INCL_MARGIN">"c387"</definedName>
    <definedName name="IQ_EBT_INS">"c388"</definedName>
    <definedName name="IQ_EBT_LOW_GUIDANCE">"c4213"</definedName>
    <definedName name="IQ_EBT_RE">"c6215"</definedName>
    <definedName name="IQ_EBT_REIT">"c389"</definedName>
    <definedName name="IQ_EBT_SBC_ACT_OR_EST">"c4350"</definedName>
    <definedName name="IQ_EBT_SBC_EST">"c4349"</definedName>
    <definedName name="IQ_EBT_SBC_GUIDANCE">"c4351"</definedName>
    <definedName name="IQ_EBT_SBC_GW_ACT_OR_EST">"c4354"</definedName>
    <definedName name="IQ_EBT_SBC_GW_EST">"c4353"</definedName>
    <definedName name="IQ_EBT_SBC_GW_GUIDANCE">"c4355"</definedName>
    <definedName name="IQ_EBT_SBC_GW_HIGH_EST">"c4356"</definedName>
    <definedName name="IQ_EBT_SBC_GW_HIGH_GUIDANCE">"c4191"</definedName>
    <definedName name="IQ_EBT_SBC_GW_LOW_EST">"c4357"</definedName>
    <definedName name="IQ_EBT_SBC_GW_LOW_GUIDANCE">"c4231"</definedName>
    <definedName name="IQ_EBT_SBC_GW_MEDIAN_EST">"c4358"</definedName>
    <definedName name="IQ_EBT_SBC_GW_NUM_EST">"c4359"</definedName>
    <definedName name="IQ_EBT_SBC_GW_STDDEV_EST">"c4360"</definedName>
    <definedName name="IQ_EBT_SBC_HIGH_EST">"c4362"</definedName>
    <definedName name="IQ_EBT_SBC_HIGH_GUIDANCE">"c4190"</definedName>
    <definedName name="IQ_EBT_SBC_LOW_EST">"c4363"</definedName>
    <definedName name="IQ_EBT_SBC_LOW_GUIDANCE">"c4230"</definedName>
    <definedName name="IQ_EBT_SBC_MEDIAN_EST">"c4364"</definedName>
    <definedName name="IQ_EBT_SBC_NUM_EST">"c4365"</definedName>
    <definedName name="IQ_EBT_SBC_STDDEV_EST">"c4366"</definedName>
    <definedName name="IQ_EBT_UTI">"c390"</definedName>
    <definedName name="IQ_ECS_AUTHORIZED_SHARES">"c5583"</definedName>
    <definedName name="IQ_ECS_AUTHORIZED_SHARES_ABS">"c5597"</definedName>
    <definedName name="IQ_ECS_CONVERT_FACTOR">"c5581"</definedName>
    <definedName name="IQ_ECS_CONVERT_FACTOR_ABS">"c5595"</definedName>
    <definedName name="IQ_ECS_CONVERT_INTO">"c5580"</definedName>
    <definedName name="IQ_ECS_CONVERT_INTO_ABS">"c5594"</definedName>
    <definedName name="IQ_ECS_CONVERT_TYPE">"c5579"</definedName>
    <definedName name="IQ_ECS_CONVERT_TYPE_ABS">"c5593"</definedName>
    <definedName name="IQ_ECS_INACTIVE_DATE">"c5576"</definedName>
    <definedName name="IQ_ECS_INACTIVE_DATE_ABS">"c5590"</definedName>
    <definedName name="IQ_ECS_NAME">"c5571"</definedName>
    <definedName name="IQ_ECS_NAME_ABS">"c5585"</definedName>
    <definedName name="IQ_ECS_NUM_SHAREHOLDERS">"c5584"</definedName>
    <definedName name="IQ_ECS_NUM_SHAREHOLDERS_ABS">"c5598"</definedName>
    <definedName name="IQ_ECS_PAR_VALUE">"c5577"</definedName>
    <definedName name="IQ_ECS_PAR_VALUE_ABS">"c5591"</definedName>
    <definedName name="IQ_ECS_PAR_VALUE_CURRENCY">"c5578"</definedName>
    <definedName name="IQ_ECS_PAR_VALUE_CURRENCY_ABS">"c5592"</definedName>
    <definedName name="IQ_ECS_SHARES_OUT_BS_DATE">"c5572"</definedName>
    <definedName name="IQ_ECS_SHARES_OUT_BS_DATE_ABS">"c5586"</definedName>
    <definedName name="IQ_ECS_SHARES_OUT_FILING_DATE">"c5573"</definedName>
    <definedName name="IQ_ECS_SHARES_OUT_FILING_DATE_ABS">"c5587"</definedName>
    <definedName name="IQ_ECS_START_DATE">"c5575"</definedName>
    <definedName name="IQ_ECS_START_DATE_ABS">"c5589"</definedName>
    <definedName name="IQ_ECS_TYPE">"c5574"</definedName>
    <definedName name="IQ_ECS_TYPE_ABS">"c5588"</definedName>
    <definedName name="IQ_ECS_VOTING">"c5582"</definedName>
    <definedName name="IQ_ECS_VOTING_ABS">"c5596"</definedName>
    <definedName name="IQ_EFFECT_SPECIAL_CHARGE">"c1595"</definedName>
    <definedName name="IQ_EFFECT_TAX_RATE">"c1899"</definedName>
    <definedName name="IQ_EFFICIENCY_RATIO">"c391"</definedName>
    <definedName name="IQ_EMPLOYEES">"c392"</definedName>
    <definedName name="IQ_ENTERPRISE_VALUE">"c1348"</definedName>
    <definedName name="IQ_EPS_10YR_ANN_CAGR">"c6085"</definedName>
    <definedName name="IQ_EPS_10YR_ANN_GROWTH">"c393"</definedName>
    <definedName name="IQ_EPS_1YR_ANN_GROWTH">"c394"</definedName>
    <definedName name="IQ_EPS_2YR_ANN_CAGR">"c6086"</definedName>
    <definedName name="IQ_EPS_2YR_ANN_GROWTH">"c395"</definedName>
    <definedName name="IQ_EPS_3YR_ANN_CAGR">"c6087"</definedName>
    <definedName name="IQ_EPS_3YR_ANN_GROWTH">"c396"</definedName>
    <definedName name="IQ_EPS_5YR_ANN_CAGR">"c6088"</definedName>
    <definedName name="IQ_EPS_5YR_ANN_GROWTH">"c397"</definedName>
    <definedName name="IQ_EPS_7YR_ANN_CAGR">"c6089"</definedName>
    <definedName name="IQ_EPS_7YR_ANN_GROWTH">"c398"</definedName>
    <definedName name="IQ_EPS_ACT_OR_EST">"c2213"</definedName>
    <definedName name="IQ_EPS_ACT_OR_EST_REUT">"c5460"</definedName>
    <definedName name="IQ_EPS_EST">"c399"</definedName>
    <definedName name="IQ_EPS_EST_BOTTOM_UP">"c5489"</definedName>
    <definedName name="IQ_EPS_EST_BOTTOM_UP_REUT">"c5497"</definedName>
    <definedName name="IQ_EPS_EST_REUT">"c5453"</definedName>
    <definedName name="IQ_EPS_EXCL_GUIDANCE">"c4368"</definedName>
    <definedName name="IQ_EPS_EXCL_HIGH_GUIDANCE">"c4369"</definedName>
    <definedName name="IQ_EPS_EXCL_LOW_GUIDANCE">"c4204"</definedName>
    <definedName name="IQ_EPS_GAAP_GUIDANCE">"c4370"</definedName>
    <definedName name="IQ_EPS_GAAP_HIGH_GUIDANCE">"c4371"</definedName>
    <definedName name="IQ_EPS_GAAP_LOW_GUIDANCE">"c4205"</definedName>
    <definedName name="IQ_EPS_GW_ACT_OR_EST">"c2223"</definedName>
    <definedName name="IQ_EPS_GW_ACT_OR_EST_REUT">"c5469"</definedName>
    <definedName name="IQ_EPS_GW_EST">"c1737"</definedName>
    <definedName name="IQ_EPS_GW_EST_BOTTOM_UP">"c5491"</definedName>
    <definedName name="IQ_EPS_GW_EST_BOTTOM_UP_REUT">"c5499"</definedName>
    <definedName name="IQ_EPS_GW_EST_REUT">"c5389"</definedName>
    <definedName name="IQ_EPS_GW_GUIDANCE">"c4372"</definedName>
    <definedName name="IQ_EPS_GW_HIGH_EST">"c1739"</definedName>
    <definedName name="IQ_EPS_GW_HIGH_EST_REUT">"c5391"</definedName>
    <definedName name="IQ_EPS_GW_HIGH_GUIDANCE">"c4373"</definedName>
    <definedName name="IQ_EPS_GW_LOW_EST">"c1740"</definedName>
    <definedName name="IQ_EPS_GW_LOW_EST_REUT">"c5392"</definedName>
    <definedName name="IQ_EPS_GW_LOW_GUIDANCE">"c4206"</definedName>
    <definedName name="IQ_EPS_GW_MEDIAN_EST">"c1738"</definedName>
    <definedName name="IQ_EPS_GW_MEDIAN_EST_REUT">"c5390"</definedName>
    <definedName name="IQ_EPS_GW_NUM_EST">"c1741"</definedName>
    <definedName name="IQ_EPS_GW_NUM_EST_REUT">"c5393"</definedName>
    <definedName name="IQ_EPS_GW_STDDEV_EST">"c1742"</definedName>
    <definedName name="IQ_EPS_GW_STDDEV_EST_REUT">"c5394"</definedName>
    <definedName name="IQ_EPS_HIGH_EST">"c400"</definedName>
    <definedName name="IQ_EPS_HIGH_EST_REUT">"c5454"</definedName>
    <definedName name="IQ_EPS_LOW_EST">"c401"</definedName>
    <definedName name="IQ_EPS_LOW_EST_REUT">"c5455"</definedName>
    <definedName name="IQ_EPS_MEDIAN_EST">"c1661"</definedName>
    <definedName name="IQ_EPS_MEDIAN_EST_REUT">"c5456"</definedName>
    <definedName name="IQ_EPS_NORM">"c1902"</definedName>
    <definedName name="IQ_EPS_NORM_EST">"c2226"</definedName>
    <definedName name="IQ_EPS_NORM_EST_BOTTOM_UP">"c5490"</definedName>
    <definedName name="IQ_EPS_NORM_EST_BOTTOM_UP_REUT">"c5498"</definedName>
    <definedName name="IQ_EPS_NORM_EST_REUT">"c5326"</definedName>
    <definedName name="IQ_EPS_NORM_HIGH_EST">"c2228"</definedName>
    <definedName name="IQ_EPS_NORM_HIGH_EST_REUT">"c5328"</definedName>
    <definedName name="IQ_EPS_NORM_LOW_EST">"c2229"</definedName>
    <definedName name="IQ_EPS_NORM_LOW_EST_REUT">"c5329"</definedName>
    <definedName name="IQ_EPS_NORM_MEDIAN_EST">"c2227"</definedName>
    <definedName name="IQ_EPS_NORM_MEDIAN_EST_REUT">"c5327"</definedName>
    <definedName name="IQ_EPS_NORM_NUM_EST">"c2230"</definedName>
    <definedName name="IQ_EPS_NORM_NUM_EST_REUT">"c5330"</definedName>
    <definedName name="IQ_EPS_NORM_STDDEV_EST">"c2231"</definedName>
    <definedName name="IQ_EPS_NORM_STDDEV_EST_REUT">"c5331"</definedName>
    <definedName name="IQ_EPS_NUM_EST">"c402"</definedName>
    <definedName name="IQ_EPS_NUM_EST_REUT">"c5451"</definedName>
    <definedName name="IQ_EPS_REPORT_ACT_OR_EST">"c2224"</definedName>
    <definedName name="IQ_EPS_REPORT_ACT_OR_EST_REUT">"c5470"</definedName>
    <definedName name="IQ_EPS_REPORTED_EST">"c1744"</definedName>
    <definedName name="IQ_EPS_REPORTED_EST_BOTTOM_UP">"c5492"</definedName>
    <definedName name="IQ_EPS_REPORTED_EST_BOTTOM_UP_REUT">"c5500"</definedName>
    <definedName name="IQ_EPS_REPORTED_EST_REUT">"c5396"</definedName>
    <definedName name="IQ_EPS_REPORTED_HIGH_EST">"c1746"</definedName>
    <definedName name="IQ_EPS_REPORTED_HIGH_EST_REUT">"c5398"</definedName>
    <definedName name="IQ_EPS_REPORTED_LOW_EST">"c1747"</definedName>
    <definedName name="IQ_EPS_REPORTED_LOW_EST_REUT">"c5399"</definedName>
    <definedName name="IQ_EPS_REPORTED_MEDIAN_EST">"c1745"</definedName>
    <definedName name="IQ_EPS_REPORTED_MEDIAN_EST_REUT">"c5397"</definedName>
    <definedName name="IQ_EPS_REPORTED_NUM_EST">"c1748"</definedName>
    <definedName name="IQ_EPS_REPORTED_NUM_EST_REUT">"c5400"</definedName>
    <definedName name="IQ_EPS_REPORTED_STDDEV_EST">"c1749"</definedName>
    <definedName name="IQ_EPS_REPORTED_STDDEV_EST_REUT">"c5401"</definedName>
    <definedName name="IQ_EPS_SBC_ACT_OR_EST">"c4376"</definedName>
    <definedName name="IQ_EPS_SBC_EST">"c4375"</definedName>
    <definedName name="IQ_EPS_SBC_GUIDANCE">"c4377"</definedName>
    <definedName name="IQ_EPS_SBC_GW_ACT_OR_EST">"c4380"</definedName>
    <definedName name="IQ_EPS_SBC_GW_EST">"c4379"</definedName>
    <definedName name="IQ_EPS_SBC_GW_GUIDANCE">"c4381"</definedName>
    <definedName name="IQ_EPS_SBC_GW_HIGH_EST">"c4382"</definedName>
    <definedName name="IQ_EPS_SBC_GW_HIGH_GUIDANCE">"c4189"</definedName>
    <definedName name="IQ_EPS_SBC_GW_LOW_EST">"c4383"</definedName>
    <definedName name="IQ_EPS_SBC_GW_LOW_GUIDANCE">"c4229"</definedName>
    <definedName name="IQ_EPS_SBC_GW_MEDIAN_EST">"c4384"</definedName>
    <definedName name="IQ_EPS_SBC_GW_NUM_EST">"c4385"</definedName>
    <definedName name="IQ_EPS_SBC_GW_STDDEV_EST">"c4386"</definedName>
    <definedName name="IQ_EPS_SBC_HIGH_EST">"c4388"</definedName>
    <definedName name="IQ_EPS_SBC_HIGH_GUIDANCE">"c4188"</definedName>
    <definedName name="IQ_EPS_SBC_LOW_EST">"c4389"</definedName>
    <definedName name="IQ_EPS_SBC_LOW_GUIDANCE">"c4228"</definedName>
    <definedName name="IQ_EPS_SBC_MEDIAN_EST">"c4390"</definedName>
    <definedName name="IQ_EPS_SBC_NUM_EST">"c4391"</definedName>
    <definedName name="IQ_EPS_SBC_STDDEV_EST">"c4392"</definedName>
    <definedName name="IQ_EPS_STDDEV_EST">"c403"</definedName>
    <definedName name="IQ_EPS_STDDEV_EST_REUT">"c5452"</definedName>
    <definedName name="IQ_EQUITY_AFFIL">"c1451"</definedName>
    <definedName name="IQ_EQUITY_METHOD">"c404"</definedName>
    <definedName name="IQ_EQV_OVER_BV">"c1596"</definedName>
    <definedName name="IQ_EQV_OVER_LTM_PRETAX_INC">"c1390"</definedName>
    <definedName name="IQ_ESOP_DEBT">"c1597"</definedName>
    <definedName name="IQ_EST_ACT_BV">"c5630"</definedName>
    <definedName name="IQ_EST_ACT_BV_SHARE">"c3549"</definedName>
    <definedName name="IQ_EST_ACT_BV_SHARE_REUT">"c5445"</definedName>
    <definedName name="IQ_EST_ACT_CAPEX">"c3546"</definedName>
    <definedName name="IQ_EST_ACT_CAPEX_REUT">"c3975"</definedName>
    <definedName name="IQ_EST_ACT_CASH_EPS">"c5637"</definedName>
    <definedName name="IQ_EST_ACT_CASH_FLOW">"c4394"</definedName>
    <definedName name="IQ_EST_ACT_CASH_OPER">"c4395"</definedName>
    <definedName name="IQ_EST_ACT_CFPS">"c1673"</definedName>
    <definedName name="IQ_EST_ACT_CFPS_REUT">"c3850"</definedName>
    <definedName name="IQ_EST_ACT_DISTRIBUTABLE_CASH">"c4396"</definedName>
    <definedName name="IQ_EST_ACT_DISTRIBUTABLE_CASH_SHARE">"c4397"</definedName>
    <definedName name="IQ_EST_ACT_DPS">"c1680"</definedName>
    <definedName name="IQ_EST_ACT_DPS_REUT">"c3857"</definedName>
    <definedName name="IQ_EST_ACT_EBIT">"c1687"</definedName>
    <definedName name="IQ_EST_ACT_EBIT_GW">"c4398"</definedName>
    <definedName name="IQ_EST_ACT_EBIT_REUT">"c5339"</definedName>
    <definedName name="IQ_EST_ACT_EBIT_SBC">"c4399"</definedName>
    <definedName name="IQ_EST_ACT_EBIT_SBC_GW">"c4400"</definedName>
    <definedName name="IQ_EST_ACT_EBITDA">"c1664"</definedName>
    <definedName name="IQ_EST_ACT_EBITDA_REUT">"c3836"</definedName>
    <definedName name="IQ_EST_ACT_EBITDA_SBC">"c4401"</definedName>
    <definedName name="IQ_EST_ACT_EBT_SBC">"c4402"</definedName>
    <definedName name="IQ_EST_ACT_EBT_SBC_GW">"c4403"</definedName>
    <definedName name="IQ_EST_ACT_EPS">"c1648"</definedName>
    <definedName name="IQ_EST_ACT_EPS_GW">"c1743"</definedName>
    <definedName name="IQ_EST_ACT_EPS_GW_REUT">"c5395"</definedName>
    <definedName name="IQ_EST_ACT_EPS_NORM">"c2232"</definedName>
    <definedName name="IQ_EST_ACT_EPS_NORM_REUT">"c5332"</definedName>
    <definedName name="IQ_EST_ACT_EPS_REPORTED">"c1750"</definedName>
    <definedName name="IQ_EST_ACT_EPS_REPORTED_REUT">"c5402"</definedName>
    <definedName name="IQ_EST_ACT_EPS_REUT">"c5457"</definedName>
    <definedName name="IQ_EST_ACT_EPS_SBC">"c4404"</definedName>
    <definedName name="IQ_EST_ACT_EPS_SBC_GW">"c4405"</definedName>
    <definedName name="IQ_EST_ACT_FFO">"c1666"</definedName>
    <definedName name="IQ_EST_ACT_FFO_ADJ">"c4406"</definedName>
    <definedName name="IQ_EST_ACT_FFO_REUT">"c3843"</definedName>
    <definedName name="IQ_EST_ACT_FFO_SHARE">"c4407"</definedName>
    <definedName name="IQ_EST_ACT_GROSS_MARGIN">"c5553"</definedName>
    <definedName name="IQ_EST_ACT_MAINT_CAPEX">"c4408"</definedName>
    <definedName name="IQ_EST_ACT_NAV">"c1757"</definedName>
    <definedName name="IQ_EST_ACT_NAV_SHARE">"c5608"</definedName>
    <definedName name="IQ_EST_ACT_NAV_SHARE_REUT">"c5616"</definedName>
    <definedName name="IQ_EST_ACT_NET_DEBT">"c3545"</definedName>
    <definedName name="IQ_EST_ACT_NET_DEBT_REUT">"c5446"</definedName>
    <definedName name="IQ_EST_ACT_NI">"c1722"</definedName>
    <definedName name="IQ_EST_ACT_NI_GW_REUT">"c5381"</definedName>
    <definedName name="IQ_EST_ACT_NI_REPORTED">"c1736"</definedName>
    <definedName name="IQ_EST_ACT_NI_REPORTED_REUT">"c5388"</definedName>
    <definedName name="IQ_EST_ACT_NI_REUT">"c5374"</definedName>
    <definedName name="IQ_EST_ACT_NI_SBC">"c4409"</definedName>
    <definedName name="IQ_EST_ACT_NI_SBC_GW">"c4410"</definedName>
    <definedName name="IQ_EST_ACT_OPER_INC">"c1694"</definedName>
    <definedName name="IQ_EST_ACT_OPER_INC_REUT">"c5346"</definedName>
    <definedName name="IQ_EST_ACT_PRETAX_GW_INC">"c1708"</definedName>
    <definedName name="IQ_EST_ACT_PRETAX_GW_INC_REUT">"c5360"</definedName>
    <definedName name="IQ_EST_ACT_PRETAX_INC">"c1701"</definedName>
    <definedName name="IQ_EST_ACT_PRETAX_INC_REUT">"c5353"</definedName>
    <definedName name="IQ_EST_ACT_PRETAX_REPORT_INC">"c1715"</definedName>
    <definedName name="IQ_EST_ACT_PRETAX_REPORT_INC_REUT">"c5367"</definedName>
    <definedName name="IQ_EST_ACT_RECURRING_PROFIT">"c4411"</definedName>
    <definedName name="IQ_EST_ACT_RECURRING_PROFIT_SHARE">"c4412"</definedName>
    <definedName name="IQ_EST_ACT_RETURN_ASSETS">"c3547"</definedName>
    <definedName name="IQ_EST_ACT_RETURN_ASSETS_REUT">"c3996"</definedName>
    <definedName name="IQ_EST_ACT_RETURN_EQUITY">"c3548"</definedName>
    <definedName name="IQ_EST_ACT_RETURN_EQUITY_REUT">"c3989"</definedName>
    <definedName name="IQ_EST_ACT_REV">"c2113"</definedName>
    <definedName name="IQ_EST_ACT_REV_REUT">"c3835"</definedName>
    <definedName name="IQ_EST_BV_SHARE_DIFF">"c4147"</definedName>
    <definedName name="IQ_EST_BV_SHARE_SURPRISE_PERCENT">"c4148"</definedName>
    <definedName name="IQ_EST_CAPEX_DIFF">"c4149"</definedName>
    <definedName name="IQ_EST_CAPEX_GROWTH_1YR">"c3588"</definedName>
    <definedName name="IQ_EST_CAPEX_GROWTH_1YR_REUT">"c5447"</definedName>
    <definedName name="IQ_EST_CAPEX_GROWTH_2YR">"c3589"</definedName>
    <definedName name="IQ_EST_CAPEX_GROWTH_2YR_REUT">"c5448"</definedName>
    <definedName name="IQ_EST_CAPEX_GROWTH_Q_1YR">"c3590"</definedName>
    <definedName name="IQ_EST_CAPEX_GROWTH_Q_1YR_REUT">"c5449"</definedName>
    <definedName name="IQ_EST_CAPEX_SEQ_GROWTH_Q">"c3591"</definedName>
    <definedName name="IQ_EST_CAPEX_SEQ_GROWTH_Q_REUT">"c5450"</definedName>
    <definedName name="IQ_EST_CAPEX_SURPRISE_PERCENT">"c4151"</definedName>
    <definedName name="IQ_EST_CASH_FLOW_DIFF">"c4152"</definedName>
    <definedName name="IQ_EST_CASH_FLOW_SURPRISE_PERCENT">"c4161"</definedName>
    <definedName name="IQ_EST_CASH_OPER_DIFF">"c4162"</definedName>
    <definedName name="IQ_EST_CASH_OPER_SURPRISE_PERCENT">"c4248"</definedName>
    <definedName name="IQ_EST_CFPS_DIFF">"c1871"</definedName>
    <definedName name="IQ_EST_CFPS_DIFF_REUT">"c3892"</definedName>
    <definedName name="IQ_EST_CFPS_GROWTH_1YR">"c1774"</definedName>
    <definedName name="IQ_EST_CFPS_GROWTH_1YR_REUT">"c3878"</definedName>
    <definedName name="IQ_EST_CFPS_GROWTH_2YR">"c1775"</definedName>
    <definedName name="IQ_EST_CFPS_GROWTH_2YR_REUT">"c3879"</definedName>
    <definedName name="IQ_EST_CFPS_GROWTH_Q_1YR">"c1776"</definedName>
    <definedName name="IQ_EST_CFPS_GROWTH_Q_1YR_REUT">"c3880"</definedName>
    <definedName name="IQ_EST_CFPS_SEQ_GROWTH_Q">"c1777"</definedName>
    <definedName name="IQ_EST_CFPS_SEQ_GROWTH_Q_REUT">"c3881"</definedName>
    <definedName name="IQ_EST_CFPS_SURPRISE_PERCENT">"c1872"</definedName>
    <definedName name="IQ_EST_CFPS_SURPRISE_PERCENT_REUT">"c3893"</definedName>
    <definedName name="IQ_EST_CURRENCY">"c2140"</definedName>
    <definedName name="IQ_EST_CURRENCY_REUT">"c5437"</definedName>
    <definedName name="IQ_EST_DATE">"c1634"</definedName>
    <definedName name="IQ_EST_DATE_REUT">"c5438"</definedName>
    <definedName name="IQ_EST_DISTRIBUTABLE_CASH_DIFF">"c4276"</definedName>
    <definedName name="IQ_EST_DISTRIBUTABLE_CASH_GROWTH_1YR">"c4413"</definedName>
    <definedName name="IQ_EST_DISTRIBUTABLE_CASH_GROWTH_2YR">"c4414"</definedName>
    <definedName name="IQ_EST_DISTRIBUTABLE_CASH_GROWTH_Q_1YR">"c4415"</definedName>
    <definedName name="IQ_EST_DISTRIBUTABLE_CASH_SEQ_GROWTH_Q">"c4416"</definedName>
    <definedName name="IQ_EST_DISTRIBUTABLE_CASH_SHARE_DIFF">"c4284"</definedName>
    <definedName name="IQ_EST_DISTRIBUTABLE_CASH_SHARE_GROWTH_1YR">"c4417"</definedName>
    <definedName name="IQ_EST_DISTRIBUTABLE_CASH_SHARE_GROWTH_2YR">"c4418"</definedName>
    <definedName name="IQ_EST_DISTRIBUTABLE_CASH_SHARE_GROWTH_Q_1YR">"c4419"</definedName>
    <definedName name="IQ_EST_DISTRIBUTABLE_CASH_SHARE_SEQ_GROWTH_Q">"c4420"</definedName>
    <definedName name="IQ_EST_DISTRIBUTABLE_CASH_SHARE_SURPRISE_PERCENT">"c4293"</definedName>
    <definedName name="IQ_EST_DISTRIBUTABLE_CASH_SURPRISE_PERCENT">"c4295"</definedName>
    <definedName name="IQ_EST_DPS_DIFF">"c1873"</definedName>
    <definedName name="IQ_EST_DPS_DIFF_REUT">"c3894"</definedName>
    <definedName name="IQ_EST_DPS_GROWTH_1YR">"c1778"</definedName>
    <definedName name="IQ_EST_DPS_GROWTH_1YR_REUT">"c3882"</definedName>
    <definedName name="IQ_EST_DPS_GROWTH_2YR">"c1779"</definedName>
    <definedName name="IQ_EST_DPS_GROWTH_2YR_REUT">"c3883"</definedName>
    <definedName name="IQ_EST_DPS_GROWTH_Q_1YR">"c1780"</definedName>
    <definedName name="IQ_EST_DPS_GROWTH_Q_1YR_REUT">"c3884"</definedName>
    <definedName name="IQ_EST_DPS_SEQ_GROWTH_Q">"c1781"</definedName>
    <definedName name="IQ_EST_DPS_SEQ_GROWTH_Q_REUT">"c3885"</definedName>
    <definedName name="IQ_EST_DPS_SURPRISE_PERCENT">"c1874"</definedName>
    <definedName name="IQ_EST_DPS_SURPRISE_PERCENT_REUT">"c3895"</definedName>
    <definedName name="IQ_EST_EBIT_DIFF">"c1875"</definedName>
    <definedName name="IQ_EST_EBIT_DIFF_REUT">"c5413"</definedName>
    <definedName name="IQ_EST_EBIT_GW_DIFF">"c4304"</definedName>
    <definedName name="IQ_EST_EBIT_GW_SURPRISE_PERCENT">"c4313"</definedName>
    <definedName name="IQ_EST_EBIT_SBC_DIFF">"c4314"</definedName>
    <definedName name="IQ_EST_EBIT_SBC_GW_DIFF">"c4318"</definedName>
    <definedName name="IQ_EST_EBIT_SBC_GW_SURPRISE_PERCENT">"c4327"</definedName>
    <definedName name="IQ_EST_EBIT_SBC_SURPRISE_PERCENT">"c4333"</definedName>
    <definedName name="IQ_EST_EBIT_SURPRISE_PERCENT">"c1876"</definedName>
    <definedName name="IQ_EST_EBIT_SURPRISE_PERCENT_REUT">"c5414"</definedName>
    <definedName name="IQ_EST_EBITDA_DIFF">"c1867"</definedName>
    <definedName name="IQ_EST_EBITDA_DIFF_REUT">"c3888"</definedName>
    <definedName name="IQ_EST_EBITDA_GROWTH_1YR">"c1766"</definedName>
    <definedName name="IQ_EST_EBITDA_GROWTH_1YR_REUT">"c3864"</definedName>
    <definedName name="IQ_EST_EBITDA_GROWTH_2YR">"c1767"</definedName>
    <definedName name="IQ_EST_EBITDA_GROWTH_2YR_REUT">"c3865"</definedName>
    <definedName name="IQ_EST_EBITDA_GROWTH_Q_1YR">"c1768"</definedName>
    <definedName name="IQ_EST_EBITDA_GROWTH_Q_1YR_REUT">"c3866"</definedName>
    <definedName name="IQ_EST_EBITDA_SBC_DIFF">"c4335"</definedName>
    <definedName name="IQ_EST_EBITDA_SBC_SURPRISE_PERCENT">"c4344"</definedName>
    <definedName name="IQ_EST_EBITDA_SEQ_GROWTH_Q">"c1769"</definedName>
    <definedName name="IQ_EST_EBITDA_SEQ_GROWTH_Q_REUT">"c3867"</definedName>
    <definedName name="IQ_EST_EBITDA_SURPRISE_PERCENT">"c1868"</definedName>
    <definedName name="IQ_EST_EBITDA_SURPRISE_PERCENT_REUT">"c3889"</definedName>
    <definedName name="IQ_EST_EBT_SBC_DIFF">"c4348"</definedName>
    <definedName name="IQ_EST_EBT_SBC_GW_DIFF">"c4352"</definedName>
    <definedName name="IQ_EST_EBT_SBC_GW_SURPRISE_PERCENT">"c4361"</definedName>
    <definedName name="IQ_EST_EBT_SBC_SURPRISE_PERCENT">"c4367"</definedName>
    <definedName name="IQ_EST_EPS_DIFF">"c1864"</definedName>
    <definedName name="IQ_EST_EPS_DIFF_REUT">"c5458"</definedName>
    <definedName name="IQ_EST_EPS_GROWTH_1YR">"c1636"</definedName>
    <definedName name="IQ_EST_EPS_GROWTH_1YR_REUT">"c3646"</definedName>
    <definedName name="IQ_EST_EPS_GROWTH_2YR">"c1637"</definedName>
    <definedName name="IQ_EST_EPS_GROWTH_2YR_REUT">"c3858"</definedName>
    <definedName name="IQ_EST_EPS_GROWTH_5YR">"c1655"</definedName>
    <definedName name="IQ_EST_EPS_GROWTH_5YR_BOTTOM_UP">"c5487"</definedName>
    <definedName name="IQ_EST_EPS_GROWTH_5YR_BOTTOM_UP_REUT">"c5495"</definedName>
    <definedName name="IQ_EST_EPS_GROWTH_5YR_HIGH">"c1657"</definedName>
    <definedName name="IQ_EST_EPS_GROWTH_5YR_HIGH_REUT">"c5322"</definedName>
    <definedName name="IQ_EST_EPS_GROWTH_5YR_LOW">"c1658"</definedName>
    <definedName name="IQ_EST_EPS_GROWTH_5YR_LOW_REUT">"c5323"</definedName>
    <definedName name="IQ_EST_EPS_GROWTH_5YR_MEDIAN">"c1656"</definedName>
    <definedName name="IQ_EST_EPS_GROWTH_5YR_MEDIAN_REUT">"c5321"</definedName>
    <definedName name="IQ_EST_EPS_GROWTH_5YR_NUM">"c1659"</definedName>
    <definedName name="IQ_EST_EPS_GROWTH_5YR_NUM_REUT">"c5324"</definedName>
    <definedName name="IQ_EST_EPS_GROWTH_5YR_REUT">"c3633"</definedName>
    <definedName name="IQ_EST_EPS_GROWTH_5YR_STDDEV">"c1660"</definedName>
    <definedName name="IQ_EST_EPS_GROWTH_5YR_STDDEV_REUT">"c5325"</definedName>
    <definedName name="IQ_EST_EPS_GROWTH_Q_1YR">"c1641"</definedName>
    <definedName name="IQ_EST_EPS_GROWTH_Q_1YR_REUT">"c5410"</definedName>
    <definedName name="IQ_EST_EPS_GW_DIFF">"c1891"</definedName>
    <definedName name="IQ_EST_EPS_GW_DIFF_REUT">"c5429"</definedName>
    <definedName name="IQ_EST_EPS_GW_SURPRISE_PERCENT">"c1892"</definedName>
    <definedName name="IQ_EST_EPS_GW_SURPRISE_PERCENT_REUT">"c5430"</definedName>
    <definedName name="IQ_EST_EPS_NORM_DIFF">"c2247"</definedName>
    <definedName name="IQ_EST_EPS_NORM_DIFF_REUT">"c5411"</definedName>
    <definedName name="IQ_EST_EPS_NORM_SURPRISE_PERCENT">"c2248"</definedName>
    <definedName name="IQ_EST_EPS_NORM_SURPRISE_PERCENT_REUT">"c5412"</definedName>
    <definedName name="IQ_EST_EPS_REPORT_DIFF">"c1893"</definedName>
    <definedName name="IQ_EST_EPS_REPORT_DIFF_REUT">"c5431"</definedName>
    <definedName name="IQ_EST_EPS_REPORT_SURPRISE_PERCENT">"c1894"</definedName>
    <definedName name="IQ_EST_EPS_REPORT_SURPRISE_PERCENT_REUT">"c5432"</definedName>
    <definedName name="IQ_EST_EPS_SBC_DIFF">"c4374"</definedName>
    <definedName name="IQ_EST_EPS_SBC_GW_DIFF">"c4378"</definedName>
    <definedName name="IQ_EST_EPS_SBC_GW_SURPRISE_PERCENT">"c4387"</definedName>
    <definedName name="IQ_EST_EPS_SBC_SURPRISE_PERCENT">"c4393"</definedName>
    <definedName name="IQ_EST_EPS_SEQ_GROWTH_Q">"c1764"</definedName>
    <definedName name="IQ_EST_EPS_SEQ_GROWTH_Q_REUT">"c3859"</definedName>
    <definedName name="IQ_EST_EPS_SURPRISE_PERCENT">"c1635"</definedName>
    <definedName name="IQ_EST_EPS_SURPRISE_PERCENT_REUT">"c5459"</definedName>
    <definedName name="IQ_EST_FFO_ADJ_DIFF">"c4433"</definedName>
    <definedName name="IQ_EST_FFO_ADJ_GROWTH_1YR">"c4421"</definedName>
    <definedName name="IQ_EST_FFO_ADJ_GROWTH_2YR">"c4422"</definedName>
    <definedName name="IQ_EST_FFO_ADJ_GROWTH_Q_1YR">"c4423"</definedName>
    <definedName name="IQ_EST_FFO_ADJ_SEQ_GROWTH_Q">"c4424"</definedName>
    <definedName name="IQ_EST_FFO_ADJ_SURPRISE_PERCENT">"c4442"</definedName>
    <definedName name="IQ_EST_FFO_DIFF">"c1869"</definedName>
    <definedName name="IQ_EST_FFO_DIFF_REUT">"c3890"</definedName>
    <definedName name="IQ_EST_FFO_GROWTH_1YR">"c1770"</definedName>
    <definedName name="IQ_EST_FFO_GROWTH_1YR_REUT">"c3874"</definedName>
    <definedName name="IQ_EST_FFO_GROWTH_2YR">"c1771"</definedName>
    <definedName name="IQ_EST_FFO_GROWTH_2YR_REUT">"c3875"</definedName>
    <definedName name="IQ_EST_FFO_GROWTH_Q_1YR">"c1772"</definedName>
    <definedName name="IQ_EST_FFO_GROWTH_Q_1YR_REUT">"c3876"</definedName>
    <definedName name="IQ_EST_FFO_SEQ_GROWTH_Q">"c1773"</definedName>
    <definedName name="IQ_EST_FFO_SEQ_GROWTH_Q_REUT">"c3877"</definedName>
    <definedName name="IQ_EST_FFO_SHARE_DIFF">"c4444"</definedName>
    <definedName name="IQ_EST_FFO_SHARE_GROWTH_1YR">"c4425"</definedName>
    <definedName name="IQ_EST_FFO_SHARE_GROWTH_2YR">"c4426"</definedName>
    <definedName name="IQ_EST_FFO_SHARE_GROWTH_Q_1YR">"c4427"</definedName>
    <definedName name="IQ_EST_FFO_SHARE_SEQ_GROWTH_Q">"c4428"</definedName>
    <definedName name="IQ_EST_FFO_SHARE_SURPRISE_PERCENT">"c4453"</definedName>
    <definedName name="IQ_EST_FFO_SURPRISE_PERCENT">"c1870"</definedName>
    <definedName name="IQ_EST_FFO_SURPRISE_PERCENT_REUT">"c3891"</definedName>
    <definedName name="IQ_EST_FOOTNOTE">"c4540"</definedName>
    <definedName name="IQ_EST_FOOTNOTE_REUT">"c5478"</definedName>
    <definedName name="IQ_EST_MAINT_CAPEX_DIFF">"c4456"</definedName>
    <definedName name="IQ_EST_MAINT_CAPEX_GROWTH_1YR">"c4429"</definedName>
    <definedName name="IQ_EST_MAINT_CAPEX_GROWTH_2YR">"c4430"</definedName>
    <definedName name="IQ_EST_MAINT_CAPEX_GROWTH_Q_1YR">"c4431"</definedName>
    <definedName name="IQ_EST_MAINT_CAPEX_SEQ_GROWTH_Q">"c4432"</definedName>
    <definedName name="IQ_EST_MAINT_CAPEX_SURPRISE_PERCENT">"c4465"</definedName>
    <definedName name="IQ_EST_NAV_DIFF">"c1895"</definedName>
    <definedName name="IQ_EST_NAV_SHARE_SURPRISE_PERCENT">"c1896"</definedName>
    <definedName name="IQ_EST_NET_DEBT_DIFF">"c4466"</definedName>
    <definedName name="IQ_EST_NET_DEBT_SURPRISE_PERCENT">"c4468"</definedName>
    <definedName name="IQ_EST_NI_DIFF">"c1885"</definedName>
    <definedName name="IQ_EST_NI_DIFF_REUT">"c5423"</definedName>
    <definedName name="IQ_EST_NI_GW_DIFF_REUT">"c5425"</definedName>
    <definedName name="IQ_EST_NI_GW_SURPRISE_PERCENT_REUT">"c5426"</definedName>
    <definedName name="IQ_EST_NI_REPORT_DIFF">"c1889"</definedName>
    <definedName name="IQ_EST_NI_REPORT_DIFF_REUT">"c5427"</definedName>
    <definedName name="IQ_EST_NI_REPORT_SURPRISE_PERCENT">"c1890"</definedName>
    <definedName name="IQ_EST_NI_REPORT_SURPRISE_PERCENT_REUT">"c5428"</definedName>
    <definedName name="IQ_EST_NI_SBC_DIFF">"c4472"</definedName>
    <definedName name="IQ_EST_NI_SBC_GW_DIFF">"c4476"</definedName>
    <definedName name="IQ_EST_NI_SBC_GW_SURPRISE_PERCENT">"c4485"</definedName>
    <definedName name="IQ_EST_NI_SBC_SURPRISE_PERCENT">"c4491"</definedName>
    <definedName name="IQ_EST_NI_SURPRISE_PERCENT">"c1886"</definedName>
    <definedName name="IQ_EST_NI_SURPRISE_PERCENT_REUT">"c5424"</definedName>
    <definedName name="IQ_EST_NUM_BUY">"c1759"</definedName>
    <definedName name="IQ_EST_NUM_HIGH_REC">"c5649"</definedName>
    <definedName name="IQ_EST_NUM_HIGH_REC_REUT">"c3870"</definedName>
    <definedName name="IQ_EST_NUM_HIGHEST_REC">"c5648"</definedName>
    <definedName name="IQ_EST_NUM_HIGHEST_REC_REUT">"c3869"</definedName>
    <definedName name="IQ_EST_NUM_HOLD">"c1761"</definedName>
    <definedName name="IQ_EST_NUM_LOW_REC">"c5651"</definedName>
    <definedName name="IQ_EST_NUM_LOW_REC_REUT">"c3872"</definedName>
    <definedName name="IQ_EST_NUM_LOWEST_REC">"c5652"</definedName>
    <definedName name="IQ_EST_NUM_LOWEST_REC_REUT">"c3873"</definedName>
    <definedName name="IQ_EST_NUM_NEUTRAL_REC">"c5650"</definedName>
    <definedName name="IQ_EST_NUM_NEUTRAL_REC_REUT">"c3871"</definedName>
    <definedName name="IQ_EST_NUM_NO_OPINION">"c1758"</definedName>
    <definedName name="IQ_EST_NUM_NO_OPINION_REUT">"c3868"</definedName>
    <definedName name="IQ_EST_NUM_OUTPERFORM">"c1760"</definedName>
    <definedName name="IQ_EST_NUM_SELL">"c1763"</definedName>
    <definedName name="IQ_EST_NUM_UNDERPERFORM">"c1762"</definedName>
    <definedName name="IQ_EST_OPER_INC_DIFF">"c1877"</definedName>
    <definedName name="IQ_EST_OPER_INC_DIFF_REUT">"c5415"</definedName>
    <definedName name="IQ_EST_OPER_INC_SURPRISE_PERCENT">"c1878"</definedName>
    <definedName name="IQ_EST_OPER_INC_SURPRISE_PERCENT_REUT">"c5416"</definedName>
    <definedName name="IQ_EST_PRE_TAX_DIFF">"c1879"</definedName>
    <definedName name="IQ_EST_PRE_TAX_DIFF_REUT">"c5417"</definedName>
    <definedName name="IQ_EST_PRE_TAX_GW_DIFF">"c1881"</definedName>
    <definedName name="IQ_EST_PRE_TAX_GW_DIFF_REUT">"c5419"</definedName>
    <definedName name="IQ_EST_PRE_TAX_GW_SURPRISE_PERCENT">"c1882"</definedName>
    <definedName name="IQ_EST_PRE_TAX_GW_SURPRISE_PERCENT_REUT">"c5420"</definedName>
    <definedName name="IQ_EST_PRE_TAX_REPORT_DIFF">"c1883"</definedName>
    <definedName name="IQ_EST_PRE_TAX_REPORT_DIFF_REUT">"c5421"</definedName>
    <definedName name="IQ_EST_PRE_TAX_REPORT_SURPRISE_PERCENT">"c1884"</definedName>
    <definedName name="IQ_EST_PRE_TAX_REPORT_SURPRISE_PERCENT_REUT">"c5422"</definedName>
    <definedName name="IQ_EST_PRE_TAX_SURPRISE_PERCENT">"c1880"</definedName>
    <definedName name="IQ_EST_PRE_TAX_SURPRISE_PERCENT_REUT">"c5418"</definedName>
    <definedName name="IQ_EST_RECURRING_PROFIT_SHARE_DIFF">"c4505"</definedName>
    <definedName name="IQ_EST_RECURRING_PROFIT_SHARE_SURPRISE_PERCENT">"c4515"</definedName>
    <definedName name="IQ_EST_REV_DIFF">"c1865"</definedName>
    <definedName name="IQ_EST_REV_DIFF_REUT">"c3886"</definedName>
    <definedName name="IQ_EST_REV_GROWTH_1YR">"c1638"</definedName>
    <definedName name="IQ_EST_REV_GROWTH_1YR_REUT">"c3860"</definedName>
    <definedName name="IQ_EST_REV_GROWTH_2YR">"c1639"</definedName>
    <definedName name="IQ_EST_REV_GROWTH_2YR_REUT">"c3861"</definedName>
    <definedName name="IQ_EST_REV_GROWTH_Q_1YR">"c1640"</definedName>
    <definedName name="IQ_EST_REV_GROWTH_Q_1YR_REUT">"c3862"</definedName>
    <definedName name="IQ_EST_REV_SEQ_GROWTH_Q">"c1765"</definedName>
    <definedName name="IQ_EST_REV_SEQ_GROWTH_Q_REUT">"c3863"</definedName>
    <definedName name="IQ_EST_REV_SURPRISE_PERCENT">"c1866"</definedName>
    <definedName name="IQ_EST_REV_SURPRISE_PERCENT_REUT">"c3887"</definedName>
    <definedName name="IQ_EST_VENDOR">"c5564"</definedName>
    <definedName name="IQ_EV_OVER_EMPLOYEE">"c1428"</definedName>
    <definedName name="IQ_EV_OVER_LTM_EBIT">"c1426"</definedName>
    <definedName name="IQ_EV_OVER_LTM_EBITDA">"c1427"</definedName>
    <definedName name="IQ_EV_OVER_LTM_REVENUE">"c1429"</definedName>
    <definedName name="IQ_EVAL_DATE">"c2180"</definedName>
    <definedName name="IQ_EXCHANGE">"c405"</definedName>
    <definedName name="IQ_EXCISE_TAXES_EXCL_SALES">"c5515"</definedName>
    <definedName name="IQ_EXCISE_TAXES_INCL_SALES">"c5514"</definedName>
    <definedName name="IQ_EXERCISE_PRICE">"c1897"</definedName>
    <definedName name="IQ_EXERCISED">"c406"</definedName>
    <definedName name="IQ_EXP_RETURN_PENSION_DOMESTIC">"c407"</definedName>
    <definedName name="IQ_EXP_RETURN_PENSION_FOREIGN">"c408"</definedName>
    <definedName name="IQ_EXPLORE_DRILL">"c409"</definedName>
    <definedName name="IQ_EXTRA_ACC_ITEMS">"c410"</definedName>
    <definedName name="IQ_EXTRA_ACC_ITEMS_BNK">"c411"</definedName>
    <definedName name="IQ_EXTRA_ACC_ITEMS_BR">"c412"</definedName>
    <definedName name="IQ_EXTRA_ACC_ITEMS_FIN">"c413"</definedName>
    <definedName name="IQ_EXTRA_ACC_ITEMS_INS">"c414"</definedName>
    <definedName name="IQ_EXTRA_ACC_ITEMS_RE">"c6216"</definedName>
    <definedName name="IQ_EXTRA_ACC_ITEMS_REIT">"c415"</definedName>
    <definedName name="IQ_EXTRA_ACC_ITEMS_UTI">"c416"</definedName>
    <definedName name="IQ_EXTRA_ITEMS">"c1459"</definedName>
    <definedName name="IQ_FDIC">"c417"</definedName>
    <definedName name="IQ_FEDFUNDS_SOLD">"c2256"</definedName>
    <definedName name="IQ_FFO">"c1574"</definedName>
    <definedName name="IQ_FFO_ACT_OR_EST">"c2216"</definedName>
    <definedName name="IQ_FFO_ADJ_ACT_OR_EST">"c4435"</definedName>
    <definedName name="IQ_FFO_ADJ_EST">"c4434"</definedName>
    <definedName name="IQ_FFO_ADJ_GUIDANCE">"c4436"</definedName>
    <definedName name="IQ_FFO_ADJ_HIGH_EST">"c4437"</definedName>
    <definedName name="IQ_FFO_ADJ_HIGH_GUIDANCE">"c4202"</definedName>
    <definedName name="IQ_FFO_ADJ_LOW_EST">"c4438"</definedName>
    <definedName name="IQ_FFO_ADJ_LOW_GUIDANCE">"c4242"</definedName>
    <definedName name="IQ_FFO_ADJ_MEDIAN_EST">"c4439"</definedName>
    <definedName name="IQ_FFO_ADJ_NUM_EST">"c4440"</definedName>
    <definedName name="IQ_FFO_ADJ_STDDEV_EST">"c4441"</definedName>
    <definedName name="IQ_FFO_EST">"c418"</definedName>
    <definedName name="IQ_FFO_EST_REUT">"c3837"</definedName>
    <definedName name="IQ_FFO_GUIDANCE">"c4443"</definedName>
    <definedName name="IQ_FFO_HIGH_EST">"c419"</definedName>
    <definedName name="IQ_FFO_HIGH_EST_REUT">"c3839"</definedName>
    <definedName name="IQ_FFO_HIGH_GUIDANCE">"c4184"</definedName>
    <definedName name="IQ_FFO_LOW_EST">"c420"</definedName>
    <definedName name="IQ_FFO_LOW_EST_REUT">"c3840"</definedName>
    <definedName name="IQ_FFO_LOW_GUIDANCE">"c4224"</definedName>
    <definedName name="IQ_FFO_MEDIAN_EST">"c1665"</definedName>
    <definedName name="IQ_FFO_MEDIAN_EST_REUT">"c3838"</definedName>
    <definedName name="IQ_FFO_NUM_EST">"c421"</definedName>
    <definedName name="IQ_FFO_NUM_EST_REUT">"c3841"</definedName>
    <definedName name="IQ_FFO_PAYOUT_RATIO">"c3492"</definedName>
    <definedName name="IQ_FFO_SHARE_ACT_OR_EST">"c4446"</definedName>
    <definedName name="IQ_FFO_SHARE_EST">"c4445"</definedName>
    <definedName name="IQ_FFO_SHARE_GUIDANCE">"c4447"</definedName>
    <definedName name="IQ_FFO_SHARE_HIGH_EST">"c4448"</definedName>
    <definedName name="IQ_FFO_SHARE_HIGH_GUIDANCE">"c4203"</definedName>
    <definedName name="IQ_FFO_SHARE_LOW_EST">"c4449"</definedName>
    <definedName name="IQ_FFO_SHARE_LOW_GUIDANCE">"c4243"</definedName>
    <definedName name="IQ_FFO_SHARE_MEDIAN_EST">"c4450"</definedName>
    <definedName name="IQ_FFO_SHARE_NUM_EST">"c4451"</definedName>
    <definedName name="IQ_FFO_SHARE_STDDEV_EST">"c4452"</definedName>
    <definedName name="IQ_FFO_STDDEV_EST">"c422"</definedName>
    <definedName name="IQ_FFO_STDDEV_EST_REUT">"c3842"</definedName>
    <definedName name="IQ_FHLB_DEBT">"c423"</definedName>
    <definedName name="IQ_FHLB_DUE_CY">"c2080"</definedName>
    <definedName name="IQ_FHLB_DUE_CY1">"c2081"</definedName>
    <definedName name="IQ_FHLB_DUE_CY2">"c2082"</definedName>
    <definedName name="IQ_FHLB_DUE_CY3">"c2083"</definedName>
    <definedName name="IQ_FHLB_DUE_CY4">"c2084"</definedName>
    <definedName name="IQ_FHLB_DUE_NEXT_FIVE">"c2085"</definedName>
    <definedName name="IQ_FILING_CURRENCY">"c2129"</definedName>
    <definedName name="IQ_FILINGDATE_BS">"c424"</definedName>
    <definedName name="IQ_FILINGDATE_CF">"c425"</definedName>
    <definedName name="IQ_FILINGDATE_IS">"c426"</definedName>
    <definedName name="IQ_FILM_RIGHTS">"c2254"</definedName>
    <definedName name="IQ_FIN_DIV_ASSETS_CURRENT">"c427"</definedName>
    <definedName name="IQ_FIN_DIV_ASSETS_LT">"c428"</definedName>
    <definedName name="IQ_FIN_DIV_CURRENT_PORT_DEBT_TOTAL">"c5524"</definedName>
    <definedName name="IQ_FIN_DIV_CURRENT_PORT_LEASES_TOTAL">"c5523"</definedName>
    <definedName name="IQ_FIN_DIV_DEBT_CURRENT">"c429"</definedName>
    <definedName name="IQ_FIN_DIV_DEBT_LT">"c430"</definedName>
    <definedName name="IQ_FIN_DIV_DEBT_LT_TOTAL">"c5526"</definedName>
    <definedName name="IQ_FIN_DIV_DEBT_TOTAL">"c5656"</definedName>
    <definedName name="IQ_FIN_DIV_EXP">"c431"</definedName>
    <definedName name="IQ_FIN_DIV_INT_EXP">"c432"</definedName>
    <definedName name="IQ_FIN_DIV_LEASES_LT_TOTAL">"c5525"</definedName>
    <definedName name="IQ_FIN_DIV_LIAB_CURRENT">"c433"</definedName>
    <definedName name="IQ_FIN_DIV_LIAB_LT">"c434"</definedName>
    <definedName name="IQ_FIN_DIV_LOANS_CURRENT">"c435"</definedName>
    <definedName name="IQ_FIN_DIV_LOANS_LT">"c436"</definedName>
    <definedName name="IQ_FIN_DIV_LT_DEBT_TOTAL">"c5655"</definedName>
    <definedName name="IQ_FIN_DIV_NOTES_PAY_TOTAL">"c5522"</definedName>
    <definedName name="IQ_FIN_DIV_REV">"c437"</definedName>
    <definedName name="IQ_FIN_DIV_ST_DEBT_TOTAL">"c5527"</definedName>
    <definedName name="IQ_FINANCING_CASH">"c1405"</definedName>
    <definedName name="IQ_FINANCING_CASH_SUPPL">"c1406"</definedName>
    <definedName name="IQ_FINANCING_OBLIG_CURRENT">"c6190"</definedName>
    <definedName name="IQ_FINANCING_OBLIG_NON_CURRENT">"c6191"</definedName>
    <definedName name="IQ_FINISHED_INV">"c438"</definedName>
    <definedName name="IQ_FIRST_INT_DATE">"c2186"</definedName>
    <definedName name="IQ_FIRST_YEAR_LIFE">"c439"</definedName>
    <definedName name="IQ_FIRST_YEAR_LIFE_PREM">"c2787"</definedName>
    <definedName name="IQ_FIRST_YEAR_PREM">"c2786"</definedName>
    <definedName name="IQ_FIRSTPRICINGDATE">"c3050"</definedName>
    <definedName name="IQ_FISCAL_Q">"c440"</definedName>
    <definedName name="IQ_FISCAL_Y">"c441"</definedName>
    <definedName name="IQ_FIVE_PERCENT_OWNER">"c442"</definedName>
    <definedName name="IQ_FIVEPERCENT_PERCENT">"c443"</definedName>
    <definedName name="IQ_FIVEPERCENT_SHARES">"c444"</definedName>
    <definedName name="IQ_FIXED_ASSET_TURNS">"c445"</definedName>
    <definedName name="IQ_FLOAT_PERCENT">"c1575"</definedName>
    <definedName name="IQ_FOREIGN_DEP_IB">"c446"</definedName>
    <definedName name="IQ_FOREIGN_DEP_NON_IB">"c447"</definedName>
    <definedName name="IQ_FOREIGN_EXCHANGE">"c1376"</definedName>
    <definedName name="IQ_FOREIGN_LOANS">"c448"</definedName>
    <definedName name="IQ_FQ">500</definedName>
    <definedName name="IQ_FUEL">"c449"</definedName>
    <definedName name="IQ_FULL_TIME">"c450"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X">"c451"</definedName>
    <definedName name="IQ_FY">1000</definedName>
    <definedName name="IQ_GA_EXP">"c2241"</definedName>
    <definedName name="IQ_GAAP_IS">"c6194"</definedName>
    <definedName name="IQ_GAIN_ASSETS">"c452"</definedName>
    <definedName name="IQ_GAIN_ASSETS_BNK">"c453"</definedName>
    <definedName name="IQ_GAIN_ASSETS_BR">"c454"</definedName>
    <definedName name="IQ_GAIN_ASSETS_CF">"c455"</definedName>
    <definedName name="IQ_GAIN_ASSETS_CF_BNK">"c456"</definedName>
    <definedName name="IQ_GAIN_ASSETS_CF_BR">"c457"</definedName>
    <definedName name="IQ_GAIN_ASSETS_CF_FIN">"c458"</definedName>
    <definedName name="IQ_GAIN_ASSETS_CF_INS">"c459"</definedName>
    <definedName name="IQ_GAIN_ASSETS_CF_RE">"c6217"</definedName>
    <definedName name="IQ_GAIN_ASSETS_CF_REIT">"c460"</definedName>
    <definedName name="IQ_GAIN_ASSETS_CF_UTI">"c461"</definedName>
    <definedName name="IQ_GAIN_ASSETS_FIN">"c462"</definedName>
    <definedName name="IQ_GAIN_ASSETS_INS">"c463"</definedName>
    <definedName name="IQ_GAIN_ASSETS_RE">"c6218"</definedName>
    <definedName name="IQ_GAIN_ASSETS_REIT">"c471"</definedName>
    <definedName name="IQ_GAIN_ASSETS_REV">"c472"</definedName>
    <definedName name="IQ_GAIN_ASSETS_REV_BNK">"c473"</definedName>
    <definedName name="IQ_GAIN_ASSETS_REV_BR">"c474"</definedName>
    <definedName name="IQ_GAIN_ASSETS_REV_FIN">"c475"</definedName>
    <definedName name="IQ_GAIN_ASSETS_REV_INS">"c476"</definedName>
    <definedName name="IQ_GAIN_ASSETS_REV_RE">"c6219"</definedName>
    <definedName name="IQ_GAIN_ASSETS_REV_REIT">"c477"</definedName>
    <definedName name="IQ_GAIN_ASSETS_REV_UTI">"c478"</definedName>
    <definedName name="IQ_GAIN_ASSETS_UTI">"c479"</definedName>
    <definedName name="IQ_GAIN_INVEST">"c1463"</definedName>
    <definedName name="IQ_GAIN_INVEST_BNK">"c1582"</definedName>
    <definedName name="IQ_GAIN_INVEST_BR">"c1464"</definedName>
    <definedName name="IQ_GAIN_INVEST_CF">"c480"</definedName>
    <definedName name="IQ_GAIN_INVEST_CF_BNK">"c481"</definedName>
    <definedName name="IQ_GAIN_INVEST_CF_BR">"c482"</definedName>
    <definedName name="IQ_GAIN_INVEST_CF_FIN">"c483"</definedName>
    <definedName name="IQ_GAIN_INVEST_CF_INS">"c484"</definedName>
    <definedName name="IQ_GAIN_INVEST_CF_RE">"c6220"</definedName>
    <definedName name="IQ_GAIN_INVEST_CF_REIT">"c485"</definedName>
    <definedName name="IQ_GAIN_INVEST_CF_UTI">"c486"</definedName>
    <definedName name="IQ_GAIN_INVEST_FIN">"c1465"</definedName>
    <definedName name="IQ_GAIN_INVEST_INS">"c1466"</definedName>
    <definedName name="IQ_GAIN_INVEST_RE">"c6278"</definedName>
    <definedName name="IQ_GAIN_INVEST_REIT">"c1467"</definedName>
    <definedName name="IQ_GAIN_INVEST_REV">"c494"</definedName>
    <definedName name="IQ_GAIN_INVEST_REV_BNK">"c495"</definedName>
    <definedName name="IQ_GAIN_INVEST_REV_BR">"c496"</definedName>
    <definedName name="IQ_GAIN_INVEST_REV_FIN">"c497"</definedName>
    <definedName name="IQ_GAIN_INVEST_REV_INS">"c498"</definedName>
    <definedName name="IQ_GAIN_INVEST_REV_RE">"c6221"</definedName>
    <definedName name="IQ_GAIN_INVEST_REV_REIT">"c499"</definedName>
    <definedName name="IQ_GAIN_INVEST_REV_UTI">"c500"</definedName>
    <definedName name="IQ_GAIN_INVEST_UTI">"c1468"</definedName>
    <definedName name="IQ_GAIN_LOANS_REC">"c501"</definedName>
    <definedName name="IQ_GAIN_LOANS_RECEIV">"c502"</definedName>
    <definedName name="IQ_GAIN_LOANS_RECEIV_REV_FIN">"c503"</definedName>
    <definedName name="IQ_GAIN_LOANS_REV">"c504"</definedName>
    <definedName name="IQ_GAIN_SALE_ASSETS">"c1377"</definedName>
    <definedName name="IQ_GEO_SEG_ASSETS">"c4069"</definedName>
    <definedName name="IQ_GEO_SEG_ASSETS_ABS">"c4091"</definedName>
    <definedName name="IQ_GEO_SEG_ASSETS_TOTAL">"c4123"</definedName>
    <definedName name="IQ_GEO_SEG_CAPEX">"c4083"</definedName>
    <definedName name="IQ_GEO_SEG_CAPEX_ABS">"c4105"</definedName>
    <definedName name="IQ_GEO_SEG_CAPEX_TOTAL">"c4127"</definedName>
    <definedName name="IQ_GEO_SEG_DA">"c4082"</definedName>
    <definedName name="IQ_GEO_SEG_DA_ABS">"c4104"</definedName>
    <definedName name="IQ_GEO_SEG_DA_TOTAL">"c4126"</definedName>
    <definedName name="IQ_GEO_SEG_EARNINGS_OP">"c4073"</definedName>
    <definedName name="IQ_GEO_SEG_EARNINGS_OP_ABS">"c4095"</definedName>
    <definedName name="IQ_GEO_SEG_EARNINGS_OP_TOTAL">"c4119"</definedName>
    <definedName name="IQ_GEO_SEG_EBT">"c4072"</definedName>
    <definedName name="IQ_GEO_SEG_EBT_ABS">"c4094"</definedName>
    <definedName name="IQ_GEO_SEG_EBT_TOTAL">"c4121"</definedName>
    <definedName name="IQ_GEO_SEG_GP">"c4070"</definedName>
    <definedName name="IQ_GEO_SEG_GP_ABS">"c4092"</definedName>
    <definedName name="IQ_GEO_SEG_GP_TOTAL">"c4120"</definedName>
    <definedName name="IQ_GEO_SEG_INC_TAX">"c4081"</definedName>
    <definedName name="IQ_GEO_SEG_INC_TAX_ABS">"c4103"</definedName>
    <definedName name="IQ_GEO_SEG_INC_TAX_TOTAL">"c4125"</definedName>
    <definedName name="IQ_GEO_SEG_INTEREST_EXP">"c4080"</definedName>
    <definedName name="IQ_GEO_SEG_INTEREST_EXP_ABS">"c4102"</definedName>
    <definedName name="IQ_GEO_SEG_INTEREST_EXP_TOTAL">"c4124"</definedName>
    <definedName name="IQ_GEO_SEG_NAME">"c5484"</definedName>
    <definedName name="IQ_GEO_SEG_NAME_ABS">"c5485"</definedName>
    <definedName name="IQ_GEO_SEG_NI">"c4071"</definedName>
    <definedName name="IQ_GEO_SEG_NI_ABS">"c4093"</definedName>
    <definedName name="IQ_GEO_SEG_NI_TOTAL">"c4122"</definedName>
    <definedName name="IQ_GEO_SEG_OPER_INC">"c4075"</definedName>
    <definedName name="IQ_GEO_SEG_OPER_INC_ABS">"c4097"</definedName>
    <definedName name="IQ_GEO_SEG_OPER_INC_TOTAL">"c4118"</definedName>
    <definedName name="IQ_GEO_SEG_REV">"c4074"</definedName>
    <definedName name="IQ_GEO_SEG_REV_ABS">"c4096"</definedName>
    <definedName name="IQ_GEO_SEG_REV_TOTAL">"c4117"</definedName>
    <definedName name="IQ_GOODWILL_NET">"c1380"</definedName>
    <definedName name="IQ_GP">"c511"</definedName>
    <definedName name="IQ_GP_10YR_ANN_CAGR">"c6090"</definedName>
    <definedName name="IQ_GP_10YR_ANN_GROWTH">"c512"</definedName>
    <definedName name="IQ_GP_1YR_ANN_GROWTH">"c513"</definedName>
    <definedName name="IQ_GP_2YR_ANN_CAGR">"c6091"</definedName>
    <definedName name="IQ_GP_2YR_ANN_GROWTH">"c514"</definedName>
    <definedName name="IQ_GP_3YR_ANN_CAGR">"c6092"</definedName>
    <definedName name="IQ_GP_3YR_ANN_GROWTH">"c515"</definedName>
    <definedName name="IQ_GP_5YR_ANN_CAGR">"c6093"</definedName>
    <definedName name="IQ_GP_5YR_ANN_GROWTH">"c516"</definedName>
    <definedName name="IQ_GP_7YR_ANN_CAGR">"c6094"</definedName>
    <definedName name="IQ_GP_7YR_ANN_GROWTH">"c517"</definedName>
    <definedName name="IQ_GPPE">"c518"</definedName>
    <definedName name="IQ_GROSS_AH_EARNED">"c2742"</definedName>
    <definedName name="IQ_GROSS_CLAIM_EXP_INCUR">"c2755"</definedName>
    <definedName name="IQ_GROSS_CLAIM_EXP_PAID">"c2758"</definedName>
    <definedName name="IQ_GROSS_CLAIM_EXP_RES">"c2752"</definedName>
    <definedName name="IQ_GROSS_DIVID">"c1446"</definedName>
    <definedName name="IQ_GROSS_EARNED">"c2732"</definedName>
    <definedName name="IQ_GROSS_LIFE_EARNED">"c2737"</definedName>
    <definedName name="IQ_GROSS_LIFE_IN_FORCE">"c2767"</definedName>
    <definedName name="IQ_GROSS_LOANS">"c521"</definedName>
    <definedName name="IQ_GROSS_LOANS_10YR_ANN_CAGR">"c6095"</definedName>
    <definedName name="IQ_GROSS_LOANS_10YR_ANN_GROWTH">"c522"</definedName>
    <definedName name="IQ_GROSS_LOANS_1YR_ANN_GROWTH">"c523"</definedName>
    <definedName name="IQ_GROSS_LOANS_2YR_ANN_CAGR">"c6096"</definedName>
    <definedName name="IQ_GROSS_LOANS_2YR_ANN_GROWTH">"c524"</definedName>
    <definedName name="IQ_GROSS_LOANS_3YR_ANN_CAGR">"c6097"</definedName>
    <definedName name="IQ_GROSS_LOANS_3YR_ANN_GROWTH">"c525"</definedName>
    <definedName name="IQ_GROSS_LOANS_5YR_ANN_CAGR">"c6098"</definedName>
    <definedName name="IQ_GROSS_LOANS_5YR_ANN_GROWTH">"c526"</definedName>
    <definedName name="IQ_GROSS_LOANS_7YR_ANN_CAGR">"c6099"</definedName>
    <definedName name="IQ_GROSS_LOANS_7YR_ANN_GROWTH">"c527"</definedName>
    <definedName name="IQ_GROSS_LOANS_TOTAL_DEPOSITS">"c528"</definedName>
    <definedName name="IQ_GROSS_MARGIN">"c529"</definedName>
    <definedName name="IQ_GROSS_MARGIN_ACT_OR_EST">"c5554"</definedName>
    <definedName name="IQ_GROSS_MARGIN_EST">"c5547"</definedName>
    <definedName name="IQ_GROSS_MARGIN_HIGH_EST">"c5549"</definedName>
    <definedName name="IQ_GROSS_MARGIN_LOW_EST">"c5550"</definedName>
    <definedName name="IQ_GROSS_MARGIN_MEDIAN_EST">"c5548"</definedName>
    <definedName name="IQ_GROSS_MARGIN_NUM_EST">"c5551"</definedName>
    <definedName name="IQ_GROSS_MARGIN_STDDEV_EST">"c5552"</definedName>
    <definedName name="IQ_GROSS_PC_EARNED">"c2747"</definedName>
    <definedName name="IQ_GROSS_PROFIT">"c1378"</definedName>
    <definedName name="IQ_GROSS_SPRD">"c2155"</definedName>
    <definedName name="IQ_GROSS_WRITTEN">"c2726"</definedName>
    <definedName name="IQ_GW">"c530"</definedName>
    <definedName name="IQ_GW_AMORT_BR">"c532"</definedName>
    <definedName name="IQ_GW_AMORT_FIN">"c540"</definedName>
    <definedName name="IQ_GW_AMORT_INS">"c541"</definedName>
    <definedName name="IQ_GW_AMORT_REIT">"c542"</definedName>
    <definedName name="IQ_GW_AMORT_UTI">"c543"</definedName>
    <definedName name="IQ_GW_INTAN_AMORT">"c1469"</definedName>
    <definedName name="IQ_GW_INTAN_AMORT_BNK">"c544"</definedName>
    <definedName name="IQ_GW_INTAN_AMORT_BR">"c1470"</definedName>
    <definedName name="IQ_GW_INTAN_AMORT_CF">"c1471"</definedName>
    <definedName name="IQ_GW_INTAN_AMORT_CF_BNK">"c1472"</definedName>
    <definedName name="IQ_GW_INTAN_AMORT_CF_BR">"c1473"</definedName>
    <definedName name="IQ_GW_INTAN_AMORT_CF_FIN">"c1474"</definedName>
    <definedName name="IQ_GW_INTAN_AMORT_CF_INS">"c1475"</definedName>
    <definedName name="IQ_GW_INTAN_AMORT_CF_RE">"c6279"</definedName>
    <definedName name="IQ_GW_INTAN_AMORT_CF_REIT">"c1476"</definedName>
    <definedName name="IQ_GW_INTAN_AMORT_CF_UTI">"c1477"</definedName>
    <definedName name="IQ_GW_INTAN_AMORT_FIN">"c1478"</definedName>
    <definedName name="IQ_GW_INTAN_AMORT_INS">"c1479"</definedName>
    <definedName name="IQ_GW_INTAN_AMORT_RE">"c6280"</definedName>
    <definedName name="IQ_GW_INTAN_AMORT_REIT">"c1480"</definedName>
    <definedName name="IQ_GW_INTAN_AMORT_UTI">"c1481"</definedName>
    <definedName name="IQ_HC_ADMISSIONS">"c5953"</definedName>
    <definedName name="IQ_HC_ADMISSIONS_GROWTH">"c5997"</definedName>
    <definedName name="IQ_HC_ADMISSIONS_MANAGED_CARE">"c5956"</definedName>
    <definedName name="IQ_HC_ADMISSIONS_MEDICAID">"c5955"</definedName>
    <definedName name="IQ_HC_ADMISSIONS_MEDICARE">"c5954"</definedName>
    <definedName name="IQ_HC_ADMISSIONS_OTHER">"c5957"</definedName>
    <definedName name="IQ_HC_ADMISSIONS_SF">"c6006"</definedName>
    <definedName name="IQ_HC_ALFS">"c5952"</definedName>
    <definedName name="IQ_HC_AVG_BEDS_SVC">"c5951"</definedName>
    <definedName name="IQ_HC_AVG_DAILY_CENSUS">"c5965"</definedName>
    <definedName name="IQ_HC_AVG_LICENSED_BEDS">"c5949"</definedName>
    <definedName name="IQ_HC_AVG_LICENSED_BEDS_SF">"c6004"</definedName>
    <definedName name="IQ_HC_AVG_STAY">"c5966"</definedName>
    <definedName name="IQ_HC_AVG_STAY_SF">"c6016"</definedName>
    <definedName name="IQ_HC_BEDS_SVC">"c5950"</definedName>
    <definedName name="IQ_HC_DAYS_REV_OUT">"c5993"</definedName>
    <definedName name="IQ_HC_EQUIV_ADMISSIONS_GROWTH">"c5998"</definedName>
    <definedName name="IQ_HC_EQUIVALENT_ADMISSIONS">"c5958"</definedName>
    <definedName name="IQ_HC_EQUIVALENT_ADMISSIONS_SF">"c6007"</definedName>
    <definedName name="IQ_HC_ER_VISITS">"c5964"</definedName>
    <definedName name="IQ_HC_ER_VISITS_SF">"c6017"</definedName>
    <definedName name="IQ_HC_GROSS_INPATIENT_REV">"c5987"</definedName>
    <definedName name="IQ_HC_GROSS_OUTPATIENT_REV">"c5988"</definedName>
    <definedName name="IQ_HC_GROSS_PATIENT_REV">"c5989"</definedName>
    <definedName name="IQ_HC_HOSP_FACILITIES_CONSOL">"c5945"</definedName>
    <definedName name="IQ_HC_HOSP_FACILITIES_CONSOL_SF">"c6000"</definedName>
    <definedName name="IQ_HC_HOSP_FACILITIES_NON_CONSOL">"c5946"</definedName>
    <definedName name="IQ_HC_HOSP_FACILITIES_NON_CONSOL_SF">"c6001"</definedName>
    <definedName name="IQ_HC_HOSP_FACILITIES_TOTAL">"c5947"</definedName>
    <definedName name="IQ_HC_HOSP_FACILITIES_TOTAL_SF">"c6002"</definedName>
    <definedName name="IQ_HC_INPATIENT_PROCEDURES">"c5961"</definedName>
    <definedName name="IQ_HC_INPATIENT_PROCEDURES_SF">"c6011"</definedName>
    <definedName name="IQ_HC_INPATIENT_REV_PER_ADMISSION">"c5994"</definedName>
    <definedName name="IQ_HC_INTPATIENT_SVCS_PCT_REV">"c5975"</definedName>
    <definedName name="IQ_HC_INTPATIENT_SVCS_PCT_REV_SF">"c6015"</definedName>
    <definedName name="IQ_HC_LICENSED_BEDS">"c5948"</definedName>
    <definedName name="IQ_HC_LICENSED_BEDS_SF">"c6003"</definedName>
    <definedName name="IQ_HC_MANAGED_CARE_PCT_ADMISSIONS">"c5982"</definedName>
    <definedName name="IQ_HC_MANAGED_CARE_PCT_REV">"c5978"</definedName>
    <definedName name="IQ_HC_MEDICAID_PCT_ADMISSIONS">"c5981"</definedName>
    <definedName name="IQ_HC_MEDICAID_PCT_REV">"c5977"</definedName>
    <definedName name="IQ_HC_MEDICARE_PCT_ADMISSIONS">"c5980"</definedName>
    <definedName name="IQ_HC_MEDICARE_PCT_REV">"c5976"</definedName>
    <definedName name="IQ_HC_NET_INPATIENT_REV">"c5984"</definedName>
    <definedName name="IQ_HC_NET_OUTPATIENT_REV">"c5985"</definedName>
    <definedName name="IQ_HC_NET_PATIENT_REV">"c5986"</definedName>
    <definedName name="IQ_HC_NET_PATIENT_REV_SF">"c6005"</definedName>
    <definedName name="IQ_HC_OCC_RATE">"c5967"</definedName>
    <definedName name="IQ_HC_OCC_RATE_LICENSED_BEDS">"c5968"</definedName>
    <definedName name="IQ_HC_OCC_RATE_SF">"c6009"</definedName>
    <definedName name="IQ_HC_OPEX_SUPPLIES">"c5990"</definedName>
    <definedName name="IQ_HC_OTHER_OPEX_PCT_REV">"c5973"</definedName>
    <definedName name="IQ_HC_OUTPATIENT_PROCEDURES">"c5962"</definedName>
    <definedName name="IQ_HC_OUTPATIENT_PROCEDURES_SF">"c6012"</definedName>
    <definedName name="IQ_HC_OUTPATIENT_REV_PER_ADMISSION">"c5995"</definedName>
    <definedName name="IQ_HC_OUTPATIENT_SVCS_PCT_REV">"c5974"</definedName>
    <definedName name="IQ_HC_OUTPATIENT_SVCS_PCT_REV_SF">"c6014"</definedName>
    <definedName name="IQ_HC_PATIENT_DAYS">"c5960"</definedName>
    <definedName name="IQ_HC_PATIENT_DAYS_SF">"c6010"</definedName>
    <definedName name="IQ_HC_PROF_GEN_LIAB_CLAIM_PAID">"c5991"</definedName>
    <definedName name="IQ_HC_PROF_GEN_LIAB_EXP_BENEFIT">"c5992"</definedName>
    <definedName name="IQ_HC_PROVISION_DOUBTFUL_PCT_REV">"c5972"</definedName>
    <definedName name="IQ_HC_REV_GROWTH">"c5996"</definedName>
    <definedName name="IQ_HC_REV_PER_EQUIV_ADMISSION">"c5959"</definedName>
    <definedName name="IQ_HC_REV_PER_EQUIV_ADMISSION_SF">"c6008"</definedName>
    <definedName name="IQ_HC_REV_PER_EQUIV_ADMISSIONS_GROWTH">"c5999"</definedName>
    <definedName name="IQ_HC_REV_PER_PATIENT_DAY">"c5969"</definedName>
    <definedName name="IQ_HC_REV_PER_PATIENT_DAY_SF">"c6018"</definedName>
    <definedName name="IQ_HC_SALARIES_PCT_REV">"c5970"</definedName>
    <definedName name="IQ_HC_SUPPLIES_PCT_REV">"c5971"</definedName>
    <definedName name="IQ_HC_TOTAL_PROCEDURES">"c5963"</definedName>
    <definedName name="IQ_HC_TOTAL_PROCEDURES_SF">"c6013"</definedName>
    <definedName name="IQ_HC_UNINSURED_PCT_ADMISSIONS">"c5983"</definedName>
    <definedName name="IQ_HC_UNINSURED_PCT_REV">"c5979"</definedName>
    <definedName name="IQ_HIGH_TARGET_PRICE">"c1651"</definedName>
    <definedName name="IQ_HIGH_TARGET_PRICE_REUT">"c5317"</definedName>
    <definedName name="IQ_HIGHPRICE">"c545"</definedName>
    <definedName name="IQ_HOME_AVG_LOAN_SIZE">"c5911"</definedName>
    <definedName name="IQ_HOME_BACKLOG">"c5844"</definedName>
    <definedName name="IQ_HOME_BACKLOG_AVG_JV">"c5848"</definedName>
    <definedName name="IQ_HOME_BACKLOG_AVG_JV_GROWTH">"c5928"</definedName>
    <definedName name="IQ_HOME_BACKLOG_AVG_JV_INC">"c5851"</definedName>
    <definedName name="IQ_HOME_BACKLOG_AVG_JV_INC_GROWTH">"c5931"</definedName>
    <definedName name="IQ_HOME_BACKLOG_AVG_PRICE">"c5845"</definedName>
    <definedName name="IQ_HOME_BACKLOG_AVG_PRICE_GROWTH">"c5925"</definedName>
    <definedName name="IQ_HOME_BACKLOG_GROWTH">"c5924"</definedName>
    <definedName name="IQ_HOME_BACKLOG_JV">"c5847"</definedName>
    <definedName name="IQ_HOME_BACKLOG_JV_GROWTH">"c5927"</definedName>
    <definedName name="IQ_HOME_BACKLOG_JV_INC">"c5850"</definedName>
    <definedName name="IQ_HOME_BACKLOG_JV_INC_GROWTH">"c5930"</definedName>
    <definedName name="IQ_HOME_BACKLOG_VALUE">"c5846"</definedName>
    <definedName name="IQ_HOME_BACKLOG_VALUE_GROWTH">"c5926"</definedName>
    <definedName name="IQ_HOME_BACKLOG_VALUE_JV">"c5849"</definedName>
    <definedName name="IQ_HOME_BACKLOG_VALUE_JV_GROWTH">"c5929"</definedName>
    <definedName name="IQ_HOME_BACKLOG_VALUE_JV_INC">"c5852"</definedName>
    <definedName name="IQ_HOME_BACKLOG_VALUE_JV_INC_GROWTH">"c5932"</definedName>
    <definedName name="IQ_HOME_COMMUNITIES_ACTIVE">"c5862"</definedName>
    <definedName name="IQ_HOME_COMMUNITIES_ACTIVE_GROWTH">"c5942"</definedName>
    <definedName name="IQ_HOME_COMMUNITIES_ACTIVE_JV">"c5863"</definedName>
    <definedName name="IQ_HOME_COMMUNITIES_ACTIVE_JV_GROWTH">"c5943"</definedName>
    <definedName name="IQ_HOME_COMMUNITIES_ACTIVE_JV_INC">"c5864"</definedName>
    <definedName name="IQ_HOME_COMMUNITIES_ACTIVE_JV_INC_GROWTH">"c5944"</definedName>
    <definedName name="IQ_HOME_COST_CONSTRUCTION_SVCS">"c5882"</definedName>
    <definedName name="IQ_HOME_COST_ELIMINATIONS_OTHER">"c5883"</definedName>
    <definedName name="IQ_HOME_COST_FINANCIAL_SVCS">"c5881"</definedName>
    <definedName name="IQ_HOME_COST_HOUSING">"c5877"</definedName>
    <definedName name="IQ_HOME_COST_LAND_LOT">"c5878"</definedName>
    <definedName name="IQ_HOME_COST_OTHER_HOMEBUILDING">"c5879"</definedName>
    <definedName name="IQ_HOME_COST_TOTAL">"c5884"</definedName>
    <definedName name="IQ_HOME_COST_TOTAL_HOMEBUILDING">"c5880"</definedName>
    <definedName name="IQ_HOME_DELIVERED">"c5835"</definedName>
    <definedName name="IQ_HOME_DELIVERED_AVG_PRICE">"c5836"</definedName>
    <definedName name="IQ_HOME_DELIVERED_AVG_PRICE_GROWTH">"c5916"</definedName>
    <definedName name="IQ_HOME_DELIVERED_AVG_PRICE_JV">"c5839"</definedName>
    <definedName name="IQ_HOME_DELIVERED_AVG_PRICE_JV_GROWTH">"c5919"</definedName>
    <definedName name="IQ_HOME_DELIVERED_AVG_PRICE_JV_INC">"c5842"</definedName>
    <definedName name="IQ_HOME_DELIVERED_AVG_PRICE_JV_INC_GROWTH">"c5922"</definedName>
    <definedName name="IQ_HOME_DELIVERED_GROWTH">"c5915"</definedName>
    <definedName name="IQ_HOME_DELIVERED_JV">"c5838"</definedName>
    <definedName name="IQ_HOME_DELIVERED_JV_GROWTH">"c5918"</definedName>
    <definedName name="IQ_HOME_DELIVERED_JV_INC">"c5841"</definedName>
    <definedName name="IQ_HOME_DELIVERED_JV_INC_GROWTH">"c5921"</definedName>
    <definedName name="IQ_HOME_DELIVERED_VALUE">"c5837"</definedName>
    <definedName name="IQ_HOME_DELIVERED_VALUE_GROWTH">"c5917"</definedName>
    <definedName name="IQ_HOME_DELIVERED_VALUE_JV">"c5840"</definedName>
    <definedName name="IQ_HOME_DELIVERED_VALUE_JV_GROWTH">"c5920"</definedName>
    <definedName name="IQ_HOME_DELIVERED_VALUE_JV_INC">"c5843"</definedName>
    <definedName name="IQ_HOME_DELIVERED_VALUE_JV_INC_GROWTH">"c5923"</definedName>
    <definedName name="IQ_HOME_FINISHED_HOMES_CIP">"c5865"</definedName>
    <definedName name="IQ_HOME_FIRSTLIEN_MORT_ORIGINATED">"c5905"</definedName>
    <definedName name="IQ_HOME_FIRSTLIEN_MORT_ORIGINATED_VOL">"c5908"</definedName>
    <definedName name="IQ_HOME_HUC">"c5822"</definedName>
    <definedName name="IQ_HOME_HUC_JV">"c5823"</definedName>
    <definedName name="IQ_HOME_HUC_JV_INC">"c5824"</definedName>
    <definedName name="IQ_HOME_INV_NOT_OWNED">"c5868"</definedName>
    <definedName name="IQ_HOME_LAND_DEVELOPMENT">"c5866"</definedName>
    <definedName name="IQ_HOME_LAND_FUTURE_DEVELOPMENT">"c5867"</definedName>
    <definedName name="IQ_HOME_LOAN_APPLICATIONS">"c5910"</definedName>
    <definedName name="IQ_HOME_LOANS_SOLD_COUNT">"c5912"</definedName>
    <definedName name="IQ_HOME_LOANS_SOLD_VALUE">"c5913"</definedName>
    <definedName name="IQ_HOME_LOTS_CONTROLLED">"c5831"</definedName>
    <definedName name="IQ_HOME_LOTS_FINISHED">"c5827"</definedName>
    <definedName name="IQ_HOME_LOTS_HELD_SALE">"c5830"</definedName>
    <definedName name="IQ_HOME_LOTS_JV">"c5833"</definedName>
    <definedName name="IQ_HOME_LOTS_JV_INC">"c5834"</definedName>
    <definedName name="IQ_HOME_LOTS_OTHER">"c5832"</definedName>
    <definedName name="IQ_HOME_LOTS_OWNED">"c5828"</definedName>
    <definedName name="IQ_HOME_LOTS_UNDER_DEVELOPMENT">"c5826"</definedName>
    <definedName name="IQ_HOME_LOTS_UNDER_OPTION">"c5829"</definedName>
    <definedName name="IQ_HOME_LOTS_UNDEVELOPED">"c5825"</definedName>
    <definedName name="IQ_HOME_MORT_CAPTURE_RATE">"c5906"</definedName>
    <definedName name="IQ_HOME_MORT_ORIGINATED">"c5907"</definedName>
    <definedName name="IQ_HOME_OBLIGATIONS_INV_NOT_OWNED">"c5914"</definedName>
    <definedName name="IQ_HOME_ORDERS">"c5853"</definedName>
    <definedName name="IQ_HOME_ORDERS_AVG_PRICE">"c5854"</definedName>
    <definedName name="IQ_HOME_ORDERS_AVG_PRICE_GROWTH">"c5934"</definedName>
    <definedName name="IQ_HOME_ORDERS_AVG_PRICE_JV">"c5857"</definedName>
    <definedName name="IQ_HOME_ORDERS_AVG_PRICE_JV_GROWTH">"c5937"</definedName>
    <definedName name="IQ_HOME_ORDERS_AVG_PRICE_JV_INC">"c5860"</definedName>
    <definedName name="IQ_HOME_ORDERS_AVG_PRICE_JV_INC_GROWTH">"c5940"</definedName>
    <definedName name="IQ_HOME_ORDERS_GROWTH">"c5933"</definedName>
    <definedName name="IQ_HOME_ORDERS_JV">"c5856"</definedName>
    <definedName name="IQ_HOME_ORDERS_JV_GROWTH">"c5936"</definedName>
    <definedName name="IQ_HOME_ORDERS_JV_INC">"c5859"</definedName>
    <definedName name="IQ_HOME_ORDERS_JV_INC_GROWTH">"c5939"</definedName>
    <definedName name="IQ_HOME_ORDERS_VALUE">"c5855"</definedName>
    <definedName name="IQ_HOME_ORDERS_VALUE_GROWTH">"c5935"</definedName>
    <definedName name="IQ_HOME_ORDERS_VALUE_JV">"c5858"</definedName>
    <definedName name="IQ_HOME_ORDERS_VALUE_JV_GROWTH">"c5938"</definedName>
    <definedName name="IQ_HOME_ORDERS_VALUE_JV_INC">"c5861"</definedName>
    <definedName name="IQ_HOME_ORDERS_VALUE_JV_INC_GROWTH">"c5941"</definedName>
    <definedName name="IQ_HOME_ORIGINATION_TOTAL">"c5909"</definedName>
    <definedName name="IQ_HOME_PRETAX_INC_CONSTRUCTION_SVCS">"c5890"</definedName>
    <definedName name="IQ_HOME_PRETAX_INC_ELIMINATIONS_OTHER">"c5891"</definedName>
    <definedName name="IQ_HOME_PRETAX_INC_FINANCIAL_SVCS">"c5889"</definedName>
    <definedName name="IQ_HOME_PRETAX_INC_HOUSING">"c5885"</definedName>
    <definedName name="IQ_HOME_PRETAX_INC_LAND_LOT">"c5886"</definedName>
    <definedName name="IQ_HOME_PRETAX_INC_OTHER_HOMEBUILDING">"c5887"</definedName>
    <definedName name="IQ_HOME_PRETAX_INC_TOTAL">"c5892"</definedName>
    <definedName name="IQ_HOME_PRETAX_INC_TOTAL_HOMEBUILDING">"c5888"</definedName>
    <definedName name="IQ_HOME_PURCH_OBLIGATION_1YR">"c5898"</definedName>
    <definedName name="IQ_HOME_PURCH_OBLIGATION_2YR">"c5899"</definedName>
    <definedName name="IQ_HOME_PURCH_OBLIGATION_3YR">"c5900"</definedName>
    <definedName name="IQ_HOME_PURCH_OBLIGATION_4YR">"c5901"</definedName>
    <definedName name="IQ_HOME_PURCH_OBLIGATION_5YR">"c5902"</definedName>
    <definedName name="IQ_HOME_PURCH_OBLIGATION_AFTER5">"c5903"</definedName>
    <definedName name="IQ_HOME_PURCH_OBLIGATION_TOTAL">"c5904"</definedName>
    <definedName name="IQ_HOME_REV_CONSTRUCTION_SERVICES">"c5874"</definedName>
    <definedName name="IQ_HOME_REV_ELIMINATIONS_OTHER">"c5875"</definedName>
    <definedName name="IQ_HOME_REV_FINANCIAL_SERVICES">"c5873"</definedName>
    <definedName name="IQ_HOME_REV_HOUSING">"c5872"</definedName>
    <definedName name="IQ_HOME_REV_LAND_LOT">"c5870"</definedName>
    <definedName name="IQ_HOME_REV_OTHER_HOMEBUILDING">"c5871"</definedName>
    <definedName name="IQ_HOME_REV_TOTAL">"c5876"</definedName>
    <definedName name="IQ_HOME_TOTAL_INV">"c5869"</definedName>
    <definedName name="IQ_HOME_WARRANTY_RES_BEG">"c5893"</definedName>
    <definedName name="IQ_HOME_WARRANTY_RES_END">"c5897"</definedName>
    <definedName name="IQ_HOME_WARRANTY_RES_ISS">"c5894"</definedName>
    <definedName name="IQ_HOME_WARRANTY_RES_OTHER">"c5896"</definedName>
    <definedName name="IQ_HOME_WARRANTY_RES_PAY">"c5895"</definedName>
    <definedName name="IQ_HOMEOWNERS_WRITTEN">"c546"</definedName>
    <definedName name="IQ_IMPAIR_OIL">"c547"</definedName>
    <definedName name="IQ_IMPAIRMENT_GW">"c548"</definedName>
    <definedName name="IQ_IMPUT_OPER_LEASE_DEPR">"c2987"</definedName>
    <definedName name="IQ_IMPUT_OPER_LEASE_INT_EXP">"c2986"</definedName>
    <definedName name="IQ_INC_AFTER_TAX">"c1598"</definedName>
    <definedName name="IQ_INC_AVAIL_EXCL">"c1395"</definedName>
    <definedName name="IQ_INC_AVAIL_INCL">"c1396"</definedName>
    <definedName name="IQ_INC_BEFORE_TAX">"c1375"</definedName>
    <definedName name="IQ_INC_EQUITY">"c549"</definedName>
    <definedName name="IQ_INC_EQUITY_BR">"c550"</definedName>
    <definedName name="IQ_INC_EQUITY_CF">"c551"</definedName>
    <definedName name="IQ_INC_EQUITY_FIN">"c552"</definedName>
    <definedName name="IQ_INC_EQUITY_INS">"c553"</definedName>
    <definedName name="IQ_INC_EQUITY_RE">"c6222"</definedName>
    <definedName name="IQ_INC_EQUITY_REC_BNK">"c554"</definedName>
    <definedName name="IQ_INC_EQUITY_REIT">"c555"</definedName>
    <definedName name="IQ_INC_EQUITY_REV_BNK">"c556"</definedName>
    <definedName name="IQ_INC_EQUITY_UTI">"c557"</definedName>
    <definedName name="IQ_INC_REAL_ESTATE_REC">"c558"</definedName>
    <definedName name="IQ_INC_REAL_ESTATE_REV">"c559"</definedName>
    <definedName name="IQ_INC_TAX">"c560"</definedName>
    <definedName name="IQ_INC_TAX_EXCL">"c1599"</definedName>
    <definedName name="IQ_INC_TAX_PAY_CURRENT">"c561"</definedName>
    <definedName name="IQ_INC_TRADE_ACT">"c562"</definedName>
    <definedName name="IQ_INDUSTRY">"c3601"</definedName>
    <definedName name="IQ_INDUSTRY_GROUP">"c3602"</definedName>
    <definedName name="IQ_INDUSTRY_SECTOR">"c3603"</definedName>
    <definedName name="IQ_INS_ANNUITY_LIAB">"c563"</definedName>
    <definedName name="IQ_INS_ANNUITY_REV">"c2788"</definedName>
    <definedName name="IQ_INS_DIV_EXP">"c564"</definedName>
    <definedName name="IQ_INS_DIV_REV">"c565"</definedName>
    <definedName name="IQ_INS_IN_FORCE">"c566"</definedName>
    <definedName name="IQ_INS_LIAB">"c567"</definedName>
    <definedName name="IQ_INS_POLICY_EXP">"c568"</definedName>
    <definedName name="IQ_INS_REV">"c569"</definedName>
    <definedName name="IQ_INS_SETTLE">"c570"</definedName>
    <definedName name="IQ_INS_SETTLE_BNK">"c571"</definedName>
    <definedName name="IQ_INS_SETTLE_BR">"c572"</definedName>
    <definedName name="IQ_INS_SETTLE_FIN">"c573"</definedName>
    <definedName name="IQ_INS_SETTLE_INS">"c574"</definedName>
    <definedName name="IQ_INS_SETTLE_RE">"c6223"</definedName>
    <definedName name="IQ_INS_SETTLE_REIT">"c575"</definedName>
    <definedName name="IQ_INS_SETTLE_UTI">"c576"</definedName>
    <definedName name="IQ_INSIDER_3MTH_BOUGHT_PCT">"c1534"</definedName>
    <definedName name="IQ_INSIDER_3MTH_NET_PCT">"c1535"</definedName>
    <definedName name="IQ_INSIDER_3MTH_SOLD_PCT">"c1533"</definedName>
    <definedName name="IQ_INSIDER_6MTH_BOUGHT_PCT">"c1537"</definedName>
    <definedName name="IQ_INSIDER_6MTH_NET_PCT">"c1538"</definedName>
    <definedName name="IQ_INSIDER_6MTH_SOLD_PCT">"c1536"</definedName>
    <definedName name="IQ_INSIDER_OVER_TOTAL">"c1581"</definedName>
    <definedName name="IQ_INSIDER_OWNER">"c577"</definedName>
    <definedName name="IQ_INSIDER_PERCENT">"c578"</definedName>
    <definedName name="IQ_INSIDER_SHARES">"c579"</definedName>
    <definedName name="IQ_INSTITUTIONAL_OVER_TOTAL">"c1580"</definedName>
    <definedName name="IQ_INSTITUTIONAL_OWNER">"c580"</definedName>
    <definedName name="IQ_INSTITUTIONAL_PERCENT">"c581"</definedName>
    <definedName name="IQ_INSTITUTIONAL_SHARES">"c582"</definedName>
    <definedName name="IQ_INSUR_RECEIV">"c1600"</definedName>
    <definedName name="IQ_INT_BORROW">"c583"</definedName>
    <definedName name="IQ_INT_DEPOSITS">"c584"</definedName>
    <definedName name="IQ_INT_DIV_INC">"c585"</definedName>
    <definedName name="IQ_INT_EXP_BR">"c586"</definedName>
    <definedName name="IQ_INT_EXP_COVERAGE">"c587"</definedName>
    <definedName name="IQ_INT_EXP_FIN">"c588"</definedName>
    <definedName name="IQ_INT_EXP_INCL_CAP">"c2988"</definedName>
    <definedName name="IQ_INT_EXP_INS">"c589"</definedName>
    <definedName name="IQ_INT_EXP_LTD">"c2086"</definedName>
    <definedName name="IQ_INT_EXP_RE">"c6224"</definedName>
    <definedName name="IQ_INT_EXP_REIT">"c590"</definedName>
    <definedName name="IQ_INT_EXP_TOTAL">"c591"</definedName>
    <definedName name="IQ_INT_EXP_UTI">"c592"</definedName>
    <definedName name="IQ_INT_INC_BR">"c593"</definedName>
    <definedName name="IQ_INT_INC_FIN">"c594"</definedName>
    <definedName name="IQ_INT_INC_INVEST">"c595"</definedName>
    <definedName name="IQ_INT_INC_LOANS">"c596"</definedName>
    <definedName name="IQ_INT_INC_RE">"c6225"</definedName>
    <definedName name="IQ_INT_INC_REIT">"c597"</definedName>
    <definedName name="IQ_INT_INC_TOTAL">"c598"</definedName>
    <definedName name="IQ_INT_INC_UTI">"c599"</definedName>
    <definedName name="IQ_INT_INV_INC">"c600"</definedName>
    <definedName name="IQ_INT_INV_INC_RE">"c6226"</definedName>
    <definedName name="IQ_INT_INV_INC_REIT">"c601"</definedName>
    <definedName name="IQ_INT_INV_INC_UTI">"c602"</definedName>
    <definedName name="IQ_INT_ON_BORROWING_COVERAGE">"c603"</definedName>
    <definedName name="IQ_INT_RATE_SPREAD">"c604"</definedName>
    <definedName name="IQ_INTANGIBLES_NET">"c1407"</definedName>
    <definedName name="IQ_INTEREST_CASH_DEPOSITS">"c2255"</definedName>
    <definedName name="IQ_INTEREST_EXP">"c618"</definedName>
    <definedName name="IQ_INTEREST_EXP_NET">"c1450"</definedName>
    <definedName name="IQ_INTEREST_EXP_NON">"c1383"</definedName>
    <definedName name="IQ_INTEREST_EXP_SUPPL">"c1460"</definedName>
    <definedName name="IQ_INTEREST_INC">"c1393"</definedName>
    <definedName name="IQ_INTEREST_INC_NON">"c1384"</definedName>
    <definedName name="IQ_INTEREST_INVEST_INC">"c619"</definedName>
    <definedName name="IQ_INV_10YR_ANN_CAGR">"c6164"</definedName>
    <definedName name="IQ_INV_10YR_ANN_GROWTH">"c1930"</definedName>
    <definedName name="IQ_INV_1YR_ANN_GROWTH">"c1925"</definedName>
    <definedName name="IQ_INV_2YR_ANN_CAGR">"c6160"</definedName>
    <definedName name="IQ_INV_2YR_ANN_GROWTH">"c1926"</definedName>
    <definedName name="IQ_INV_3YR_ANN_CAGR">"c6161"</definedName>
    <definedName name="IQ_INV_3YR_ANN_GROWTH">"c1927"</definedName>
    <definedName name="IQ_INV_5YR_ANN_CAGR">"c6162"</definedName>
    <definedName name="IQ_INV_5YR_ANN_GROWTH">"c1928"</definedName>
    <definedName name="IQ_INV_7YR_ANN_CAGR">"c6163"</definedName>
    <definedName name="IQ_INV_7YR_ANN_GROWTH">"c1929"</definedName>
    <definedName name="IQ_INV_BANKING_FEE">"c620"</definedName>
    <definedName name="IQ_INV_METHOD">"c621"</definedName>
    <definedName name="IQ_INVENTORY">"c622"</definedName>
    <definedName name="IQ_INVENTORY_TURNS">"c623"</definedName>
    <definedName name="IQ_INVENTORY_UTI">"c624"</definedName>
    <definedName name="IQ_INVEST_DEBT">"c625"</definedName>
    <definedName name="IQ_INVEST_EQUITY_PREF">"c626"</definedName>
    <definedName name="IQ_INVEST_FHLB">"c627"</definedName>
    <definedName name="IQ_INVEST_GOV_SECURITY">"c5510"</definedName>
    <definedName name="IQ_INVEST_LOANS_CF">"c628"</definedName>
    <definedName name="IQ_INVEST_LOANS_CF_BNK">"c629"</definedName>
    <definedName name="IQ_INVEST_LOANS_CF_BR">"c630"</definedName>
    <definedName name="IQ_INVEST_LOANS_CF_FIN">"c631"</definedName>
    <definedName name="IQ_INVEST_LOANS_CF_INS">"c632"</definedName>
    <definedName name="IQ_INVEST_LOANS_CF_RE">"c6227"</definedName>
    <definedName name="IQ_INVEST_LOANS_CF_REIT">"c633"</definedName>
    <definedName name="IQ_INVEST_LOANS_CF_UTI">"c634"</definedName>
    <definedName name="IQ_INVEST_MUNI_SECURITY">"c5512"</definedName>
    <definedName name="IQ_INVEST_REAL_ESTATE">"c635"</definedName>
    <definedName name="IQ_INVEST_SECURITY">"c636"</definedName>
    <definedName name="IQ_INVEST_SECURITY_CF">"c637"</definedName>
    <definedName name="IQ_INVEST_SECURITY_CF_BNK">"c638"</definedName>
    <definedName name="IQ_INVEST_SECURITY_CF_BR">"c639"</definedName>
    <definedName name="IQ_INVEST_SECURITY_CF_FIN">"c640"</definedName>
    <definedName name="IQ_INVEST_SECURITY_CF_INS">"c641"</definedName>
    <definedName name="IQ_INVEST_SECURITY_CF_RE">"c6228"</definedName>
    <definedName name="IQ_INVEST_SECURITY_CF_REIT">"c642"</definedName>
    <definedName name="IQ_INVEST_SECURITY_CF_UTI">"c643"</definedName>
    <definedName name="IQ_INVEST_SECURITY_SUPPL">"c5511"</definedName>
    <definedName name="IQ_IPRD">"c644"</definedName>
    <definedName name="IQ_ISS_DEBT_NET">"c1391"</definedName>
    <definedName name="IQ_ISS_STOCK_NET">"c1601"</definedName>
    <definedName name="IQ_ISSUE_CURRENCY">"c2156"</definedName>
    <definedName name="IQ_ISSUE_NAME">"c2142"</definedName>
    <definedName name="IQ_ISSUER">"c2143"</definedName>
    <definedName name="IQ_ISSUER_CIQID">"c2258"</definedName>
    <definedName name="IQ_ISSUER_PARENT">"c2144"</definedName>
    <definedName name="IQ_ISSUER_PARENT_CIQID">"c2260"</definedName>
    <definedName name="IQ_ISSUER_PARENT_TICKER">"c2259"</definedName>
    <definedName name="IQ_ISSUER_TICKER">"c2252"</definedName>
    <definedName name="IQ_JR_SUB_DEBT">"c2534"</definedName>
    <definedName name="IQ_JR_SUB_DEBT_EBITDA">"c2560"</definedName>
    <definedName name="IQ_JR_SUB_DEBT_EBITDA_CAPEX">"c2561"</definedName>
    <definedName name="IQ_JR_SUB_DEBT_PCT">"c2535"</definedName>
    <definedName name="IQ_LAND">"c645"</definedName>
    <definedName name="IQ_LAST_PMT_DATE">"c2188"</definedName>
    <definedName name="IQ_LAST_SPLIT_DATE">"c2095"</definedName>
    <definedName name="IQ_LAST_SPLIT_FACTOR">"c2093"</definedName>
    <definedName name="IQ_LASTPRICINGDATE">"c3051"</definedName>
    <definedName name="IQ_LASTSALEPRICE">"c646"</definedName>
    <definedName name="IQ_LASTSALEPRICE_DATE">"c2109"</definedName>
    <definedName name="IQ_LATESTK">1000</definedName>
    <definedName name="IQ_LATESTQ">500</definedName>
    <definedName name="IQ_LEGAL_SETTLE">"c647"</definedName>
    <definedName name="IQ_LEGAL_SETTLE_BNK">"c648"</definedName>
    <definedName name="IQ_LEGAL_SETTLE_BR">"c649"</definedName>
    <definedName name="IQ_LEGAL_SETTLE_FIN">"c650"</definedName>
    <definedName name="IQ_LEGAL_SETTLE_INS">"c651"</definedName>
    <definedName name="IQ_LEGAL_SETTLE_RE">"c6229"</definedName>
    <definedName name="IQ_LEGAL_SETTLE_REIT">"c652"</definedName>
    <definedName name="IQ_LEGAL_SETTLE_UTI">"c653"</definedName>
    <definedName name="IQ_LEVERAGE_RATIO">"c654"</definedName>
    <definedName name="IQ_LEVERED_FCF">"c1907"</definedName>
    <definedName name="IQ_LFCF_10YR_ANN_CAGR">"c6174"</definedName>
    <definedName name="IQ_LFCF_10YR_ANN_GROWTH">"c1942"</definedName>
    <definedName name="IQ_LFCF_1YR_ANN_GROWTH">"c1937"</definedName>
    <definedName name="IQ_LFCF_2YR_ANN_CAGR">"c6170"</definedName>
    <definedName name="IQ_LFCF_2YR_ANN_GROWTH">"c1938"</definedName>
    <definedName name="IQ_LFCF_3YR_ANN_CAGR">"c6171"</definedName>
    <definedName name="IQ_LFCF_3YR_ANN_GROWTH">"c1939"</definedName>
    <definedName name="IQ_LFCF_5YR_ANN_CAGR">"c6172"</definedName>
    <definedName name="IQ_LFCF_5YR_ANN_GROWTH">"c1940"</definedName>
    <definedName name="IQ_LFCF_7YR_ANN_CAGR">"c6173"</definedName>
    <definedName name="IQ_LFCF_7YR_ANN_GROWTH">"c1941"</definedName>
    <definedName name="IQ_LFCF_MARGIN">"c1961"</definedName>
    <definedName name="IQ_LH_STATUTORY_SURPLUS">"c2771"</definedName>
    <definedName name="IQ_LICENSED_POPS">"c2123"</definedName>
    <definedName name="IQ_LIFE_EARNED">"c2739"</definedName>
    <definedName name="IQ_LIFOR">"c655"</definedName>
    <definedName name="IQ_LL">"c656"</definedName>
    <definedName name="IQ_LOAN_LEASE_RECEIV">"c657"</definedName>
    <definedName name="IQ_LOAN_LOSS">"c1386"</definedName>
    <definedName name="IQ_LOAN_SERVICE_REV">"c658"</definedName>
    <definedName name="IQ_LOANS_CF">"c659"</definedName>
    <definedName name="IQ_LOANS_CF_BNK">"c660"</definedName>
    <definedName name="IQ_LOANS_CF_BR">"c661"</definedName>
    <definedName name="IQ_LOANS_CF_FIN">"c662"</definedName>
    <definedName name="IQ_LOANS_CF_INS">"c663"</definedName>
    <definedName name="IQ_LOANS_CF_RE">"c6230"</definedName>
    <definedName name="IQ_LOANS_CF_REIT">"c664"</definedName>
    <definedName name="IQ_LOANS_CF_UTI">"c665"</definedName>
    <definedName name="IQ_LOANS_FOR_SALE">"c666"</definedName>
    <definedName name="IQ_LOANS_PAST_DUE">"c667"</definedName>
    <definedName name="IQ_LOANS_RECEIV_CURRENT">"c668"</definedName>
    <definedName name="IQ_LOANS_RECEIV_LT">"c669"</definedName>
    <definedName name="IQ_LOANS_RECEIV_LT_UTI">"c670"</definedName>
    <definedName name="IQ_LONG_TERM_DEBT">"c1387"</definedName>
    <definedName name="IQ_LONG_TERM_DEBT_OVER_TOTAL_CAP">"c1388"</definedName>
    <definedName name="IQ_LONG_TERM_GROWTH">"c671"</definedName>
    <definedName name="IQ_LONG_TERM_INV">"c1389"</definedName>
    <definedName name="IQ_LOSS_LOSS_EXP">"c672"</definedName>
    <definedName name="IQ_LOSS_TO_NET_EARNED">"c2751"</definedName>
    <definedName name="IQ_LOW_TARGET_PRICE">"c1652"</definedName>
    <definedName name="IQ_LOW_TARGET_PRICE_REUT">"c5318"</definedName>
    <definedName name="IQ_LOWPRICE">"c673"</definedName>
    <definedName name="IQ_LT_DEBT">"c674"</definedName>
    <definedName name="IQ_LT_DEBT_BNK">"c675"</definedName>
    <definedName name="IQ_LT_DEBT_BR">"c676"</definedName>
    <definedName name="IQ_LT_DEBT_CAPITAL">"c677"</definedName>
    <definedName name="IQ_LT_DEBT_CAPITAL_LEASES">"c2542"</definedName>
    <definedName name="IQ_LT_DEBT_CAPITAL_LEASES_PCT">"c2543"</definedName>
    <definedName name="IQ_LT_DEBT_EQUITY">"c678"</definedName>
    <definedName name="IQ_LT_DEBT_FIN">"c679"</definedName>
    <definedName name="IQ_LT_DEBT_INS">"c680"</definedName>
    <definedName name="IQ_LT_DEBT_ISSUED">"c681"</definedName>
    <definedName name="IQ_LT_DEBT_ISSUED_BNK">"c682"</definedName>
    <definedName name="IQ_LT_DEBT_ISSUED_BR">"c683"</definedName>
    <definedName name="IQ_LT_DEBT_ISSUED_FIN">"c684"</definedName>
    <definedName name="IQ_LT_DEBT_ISSUED_INS">"c685"</definedName>
    <definedName name="IQ_LT_DEBT_ISSUED_RE">"c6231"</definedName>
    <definedName name="IQ_LT_DEBT_ISSUED_REIT">"c686"</definedName>
    <definedName name="IQ_LT_DEBT_ISSUED_UTI">"c687"</definedName>
    <definedName name="IQ_LT_DEBT_RE">"c6232"</definedName>
    <definedName name="IQ_LT_DEBT_REIT">"c688"</definedName>
    <definedName name="IQ_LT_DEBT_REPAID">"c689"</definedName>
    <definedName name="IQ_LT_DEBT_REPAID_BNK">"c690"</definedName>
    <definedName name="IQ_LT_DEBT_REPAID_BR">"c691"</definedName>
    <definedName name="IQ_LT_DEBT_REPAID_FIN">"c692"</definedName>
    <definedName name="IQ_LT_DEBT_REPAID_INS">"c693"</definedName>
    <definedName name="IQ_LT_DEBT_REPAID_RE">"c6233"</definedName>
    <definedName name="IQ_LT_DEBT_REPAID_REIT">"c694"</definedName>
    <definedName name="IQ_LT_DEBT_REPAID_UTI">"c695"</definedName>
    <definedName name="IQ_LT_DEBT_UTI">"c696"</definedName>
    <definedName name="IQ_LT_INVEST">"c697"</definedName>
    <definedName name="IQ_LT_INVEST_BR">"c698"</definedName>
    <definedName name="IQ_LT_INVEST_FIN">"c699"</definedName>
    <definedName name="IQ_LT_INVEST_RE">"c6234"</definedName>
    <definedName name="IQ_LT_INVEST_REIT">"c700"</definedName>
    <definedName name="IQ_LT_INVEST_UTI">"c701"</definedName>
    <definedName name="IQ_LT_NOTE_RECEIV">"c1602"</definedName>
    <definedName name="IQ_LTD_DUE_AFTER_FIVE">"c704"</definedName>
    <definedName name="IQ_LTD_DUE_CY">"c705"</definedName>
    <definedName name="IQ_LTD_DUE_CY1">"c706"</definedName>
    <definedName name="IQ_LTD_DUE_CY2">"c707"</definedName>
    <definedName name="IQ_LTD_DUE_CY3">"c708"</definedName>
    <definedName name="IQ_LTD_DUE_CY4">"c709"</definedName>
    <definedName name="IQ_LTD_DUE_NEXT_FIVE">"c710"</definedName>
    <definedName name="IQ_LTM">2000</definedName>
    <definedName name="IQ_LTM_REVENUE_OVER_EMPLOYEES">"c1437"</definedName>
    <definedName name="IQ_LTMMONTH">120000</definedName>
    <definedName name="IQ_MACHINERY">"c711"</definedName>
    <definedName name="IQ_MAINT_CAPEX">"c2947"</definedName>
    <definedName name="IQ_MAINT_CAPEX_ACT_OR_EST">"c4458"</definedName>
    <definedName name="IQ_MAINT_CAPEX_EST">"c4457"</definedName>
    <definedName name="IQ_MAINT_CAPEX_GUIDANCE">"c4459"</definedName>
    <definedName name="IQ_MAINT_CAPEX_HIGH_EST">"c4460"</definedName>
    <definedName name="IQ_MAINT_CAPEX_HIGH_GUIDANCE">"c4197"</definedName>
    <definedName name="IQ_MAINT_CAPEX_LOW_EST">"c4461"</definedName>
    <definedName name="IQ_MAINT_CAPEX_LOW_GUIDANCE">"c4237"</definedName>
    <definedName name="IQ_MAINT_CAPEX_MEDIAN_EST">"c4462"</definedName>
    <definedName name="IQ_MAINT_CAPEX_NUM_EST">"c4463"</definedName>
    <definedName name="IQ_MAINT_CAPEX_STDDEV_EST">"c4464"</definedName>
    <definedName name="IQ_MAINT_REPAIR">"c2087"</definedName>
    <definedName name="IQ_MAKE_WHOLE_END_DATE">"c2493"</definedName>
    <definedName name="IQ_MAKE_WHOLE_SPREAD">"c2494"</definedName>
    <definedName name="IQ_MAKE_WHOLE_START_DATE">"c2492"</definedName>
    <definedName name="IQ_MARKET_CAP_LFCF">"c2209"</definedName>
    <definedName name="IQ_MARKETCAP">"c712"</definedName>
    <definedName name="IQ_MARKETING">"c2239"</definedName>
    <definedName name="IQ_MATURITY_DATE">"c2146"</definedName>
    <definedName name="IQ_MC_RATIO">"c2783"</definedName>
    <definedName name="IQ_MC_STATUTORY_SURPLUS">"c2772"</definedName>
    <definedName name="IQ_MEDIAN_TARGET_PRICE">"c1650"</definedName>
    <definedName name="IQ_MEDIAN_TARGET_PRICE_REUT">"c5316"</definedName>
    <definedName name="IQ_MERGER">"c713"</definedName>
    <definedName name="IQ_MERGER_BNK">"c714"</definedName>
    <definedName name="IQ_MERGER_BR">"c715"</definedName>
    <definedName name="IQ_MERGER_FIN">"c716"</definedName>
    <definedName name="IQ_MERGER_INS">"c717"</definedName>
    <definedName name="IQ_MERGER_RE">"c6235"</definedName>
    <definedName name="IQ_MERGER_REIT">"c718"</definedName>
    <definedName name="IQ_MERGER_RESTRUCTURE">"c719"</definedName>
    <definedName name="IQ_MERGER_RESTRUCTURE_BNK">"c720"</definedName>
    <definedName name="IQ_MERGER_RESTRUCTURE_BR">"c721"</definedName>
    <definedName name="IQ_MERGER_RESTRUCTURE_FIN">"c722"</definedName>
    <definedName name="IQ_MERGER_RESTRUCTURE_INS">"c723"</definedName>
    <definedName name="IQ_MERGER_RESTRUCTURE_RE">"c6236"</definedName>
    <definedName name="IQ_MERGER_RESTRUCTURE_REIT">"c724"</definedName>
    <definedName name="IQ_MERGER_RESTRUCTURE_UTI">"c725"</definedName>
    <definedName name="IQ_MERGER_UTI">"c726"</definedName>
    <definedName name="IQ_MINORITY_INTEREST">"c727"</definedName>
    <definedName name="IQ_MINORITY_INTEREST_BNK">"c728"</definedName>
    <definedName name="IQ_MINORITY_INTEREST_BR">"c729"</definedName>
    <definedName name="IQ_MINORITY_INTEREST_CF">"c730"</definedName>
    <definedName name="IQ_MINORITY_INTEREST_FIN">"c731"</definedName>
    <definedName name="IQ_MINORITY_INTEREST_INS">"c732"</definedName>
    <definedName name="IQ_MINORITY_INTEREST_IS">"c733"</definedName>
    <definedName name="IQ_MINORITY_INTEREST_RE">"c6237"</definedName>
    <definedName name="IQ_MINORITY_INTEREST_REIT">"c734"</definedName>
    <definedName name="IQ_MINORITY_INTEREST_TOTAL">"c1905"</definedName>
    <definedName name="IQ_MINORITY_INTEREST_UTI">"c735"</definedName>
    <definedName name="IQ_MISC_ADJUST_CF">"c736"</definedName>
    <definedName name="IQ_MISC_EARN_ADJ">"c1603"</definedName>
    <definedName name="IQ_MKTCAP_EBT_EXCL">"c737"</definedName>
    <definedName name="IQ_MKTCAP_EBT_EXCL_AVG">"c738"</definedName>
    <definedName name="IQ_MKTCAP_EBT_INCL_AVG">"c739"</definedName>
    <definedName name="IQ_MKTCAP_TOTAL_REV">"c740"</definedName>
    <definedName name="IQ_MKTCAP_TOTAL_REV_AVG">"c741"</definedName>
    <definedName name="IQ_MKTCAP_TOTAL_REV_FWD">"c742"</definedName>
    <definedName name="IQ_MKTCAP_TOTAL_REV_FWD_REUT">"c4048"</definedName>
    <definedName name="IQ_MM_ACCOUNT">"c743"</definedName>
    <definedName name="IQ_MORT_BANK_ACT">"c744"</definedName>
    <definedName name="IQ_MORT_BANKING_FEE">"c745"</definedName>
    <definedName name="IQ_MORT_INT_INC">"c746"</definedName>
    <definedName name="IQ_MORT_LOANS">"c747"</definedName>
    <definedName name="IQ_MORT_SECURITY">"c748"</definedName>
    <definedName name="IQ_MORTGAGE_SERV_RIGHTS">"c2242"</definedName>
    <definedName name="IQ_MTD">800000</definedName>
    <definedName name="IQ_NAMES_REVISION_DATE_">43052.9034953704</definedName>
    <definedName name="IQ_NAV_EST">"c1751"</definedName>
    <definedName name="IQ_NAV_HIGH_EST">"c1753"</definedName>
    <definedName name="IQ_NAV_LOW_EST">"c1754"</definedName>
    <definedName name="IQ_NAV_MEDIAN_EST">"c1752"</definedName>
    <definedName name="IQ_NAV_NUM_EST">"c1755"</definedName>
    <definedName name="IQ_NAV_SHARE_ACT_OR_EST">"c2225"</definedName>
    <definedName name="IQ_NAV_SHARE_ACT_OR_EST_REUT">"c5623"</definedName>
    <definedName name="IQ_NAV_SHARE_EST">"c5609"</definedName>
    <definedName name="IQ_NAV_SHARE_EST_REUT">"c5617"</definedName>
    <definedName name="IQ_NAV_SHARE_HIGH_EST">"c5612"</definedName>
    <definedName name="IQ_NAV_SHARE_HIGH_EST_REUT">"c5620"</definedName>
    <definedName name="IQ_NAV_SHARE_LOW_EST">"c5613"</definedName>
    <definedName name="IQ_NAV_SHARE_LOW_EST_REUT">"c5621"</definedName>
    <definedName name="IQ_NAV_SHARE_MEDIAN_EST">"c5610"</definedName>
    <definedName name="IQ_NAV_SHARE_MEDIAN_EST_REUT">"c5618"</definedName>
    <definedName name="IQ_NAV_SHARE_NUM_EST">"c5614"</definedName>
    <definedName name="IQ_NAV_SHARE_NUM_EST_REUT">"c5622"</definedName>
    <definedName name="IQ_NAV_SHARE_STDDEV_EST">"c5611"</definedName>
    <definedName name="IQ_NAV_SHARE_STDDEV_EST_REUT">"c5619"</definedName>
    <definedName name="IQ_NAV_STDDEV_EST">"c1756"</definedName>
    <definedName name="IQ_NET_CHANGE">"c749"</definedName>
    <definedName name="IQ_NET_CLAIM_EXP_INCUR">"c2757"</definedName>
    <definedName name="IQ_NET_CLAIM_EXP_INCUR_CY">"c2761"</definedName>
    <definedName name="IQ_NET_CLAIM_EXP_INCUR_PY">"c2762"</definedName>
    <definedName name="IQ_NET_CLAIM_EXP_PAID">"c2760"</definedName>
    <definedName name="IQ_NET_CLAIM_EXP_PAID_CY">"c2763"</definedName>
    <definedName name="IQ_NET_CLAIM_EXP_PAID_PY">"c2764"</definedName>
    <definedName name="IQ_NET_CLAIM_EXP_RES">"c2754"</definedName>
    <definedName name="IQ_NET_DEBT">"c1584"</definedName>
    <definedName name="IQ_NET_DEBT_ACT_OR_EST">"c3583"</definedName>
    <definedName name="IQ_NET_DEBT_ACT_OR_EST_REUT">"c5473"</definedName>
    <definedName name="IQ_NET_DEBT_EBITDA">"c750"</definedName>
    <definedName name="IQ_NET_DEBT_EBITDA_CAPEX">"c2949"</definedName>
    <definedName name="IQ_NET_DEBT_EST">"c3517"</definedName>
    <definedName name="IQ_NET_DEBT_EST_REUT">"c3976"</definedName>
    <definedName name="IQ_NET_DEBT_GUIDANCE">"c4467"</definedName>
    <definedName name="IQ_NET_DEBT_HIGH_EST">"c3518"</definedName>
    <definedName name="IQ_NET_DEBT_HIGH_EST_REUT">"c3978"</definedName>
    <definedName name="IQ_NET_DEBT_HIGH_GUIDANCE">"c4181"</definedName>
    <definedName name="IQ_NET_DEBT_ISSUED">"c751"</definedName>
    <definedName name="IQ_NET_DEBT_ISSUED_BNK">"c752"</definedName>
    <definedName name="IQ_NET_DEBT_ISSUED_BR">"c753"</definedName>
    <definedName name="IQ_NET_DEBT_ISSUED_FIN">"c754"</definedName>
    <definedName name="IQ_NET_DEBT_ISSUED_INS">"c755"</definedName>
    <definedName name="IQ_NET_DEBT_ISSUED_RE">"c6238"</definedName>
    <definedName name="IQ_NET_DEBT_ISSUED_REIT">"c756"</definedName>
    <definedName name="IQ_NET_DEBT_ISSUED_UTI">"c757"</definedName>
    <definedName name="IQ_NET_DEBT_LOW_EST">"c3519"</definedName>
    <definedName name="IQ_NET_DEBT_LOW_EST_REUT">"c3979"</definedName>
    <definedName name="IQ_NET_DEBT_LOW_GUIDANCE">"c4221"</definedName>
    <definedName name="IQ_NET_DEBT_MEDIAN_EST">"c3520"</definedName>
    <definedName name="IQ_NET_DEBT_MEDIAN_EST_REUT">"c3977"</definedName>
    <definedName name="IQ_NET_DEBT_NUM_EST">"c3515"</definedName>
    <definedName name="IQ_NET_DEBT_NUM_EST_REUT">"c3980"</definedName>
    <definedName name="IQ_NET_DEBT_STDDEV_EST">"c3516"</definedName>
    <definedName name="IQ_NET_DEBT_STDDEV_EST_REUT">"c3981"</definedName>
    <definedName name="IQ_NET_EARNED">"c2734"</definedName>
    <definedName name="IQ_NET_INC">"c1394"</definedName>
    <definedName name="IQ_NET_INC_BEFORE">"c1368"</definedName>
    <definedName name="IQ_NET_INC_CF">"c1397"</definedName>
    <definedName name="IQ_NET_INC_MARGIN">"c1398"</definedName>
    <definedName name="IQ_NET_INT_INC_10YR_ANN_CAGR">"c6100"</definedName>
    <definedName name="IQ_NET_INT_INC_10YR_ANN_GROWTH">"c758"</definedName>
    <definedName name="IQ_NET_INT_INC_1YR_ANN_GROWTH">"c759"</definedName>
    <definedName name="IQ_NET_INT_INC_2YR_ANN_CAGR">"c6101"</definedName>
    <definedName name="IQ_NET_INT_INC_2YR_ANN_GROWTH">"c760"</definedName>
    <definedName name="IQ_NET_INT_INC_3YR_ANN_CAGR">"c6102"</definedName>
    <definedName name="IQ_NET_INT_INC_3YR_ANN_GROWTH">"c761"</definedName>
    <definedName name="IQ_NET_INT_INC_5YR_ANN_CAGR">"c6103"</definedName>
    <definedName name="IQ_NET_INT_INC_5YR_ANN_GROWTH">"c762"</definedName>
    <definedName name="IQ_NET_INT_INC_7YR_ANN_CAGR">"c6104"</definedName>
    <definedName name="IQ_NET_INT_INC_7YR_ANN_GROWTH">"c763"</definedName>
    <definedName name="IQ_NET_INT_INC_BNK">"c764"</definedName>
    <definedName name="IQ_NET_INT_INC_BR">"c765"</definedName>
    <definedName name="IQ_NET_INT_INC_FIN">"c766"</definedName>
    <definedName name="IQ_NET_INT_INC_TOTAL_REV">"c767"</definedName>
    <definedName name="IQ_NET_INT_MARGIN">"c768"</definedName>
    <definedName name="IQ_NET_INTEREST_EXP">"c769"</definedName>
    <definedName name="IQ_NET_INTEREST_EXP_RE">"c6239"</definedName>
    <definedName name="IQ_NET_INTEREST_EXP_REIT">"c770"</definedName>
    <definedName name="IQ_NET_INTEREST_EXP_UTI">"c771"</definedName>
    <definedName name="IQ_NET_INTEREST_INC">"c1392"</definedName>
    <definedName name="IQ_NET_INTEREST_INC_AFTER_LL">"c1604"</definedName>
    <definedName name="IQ_NET_LIFE_INS_IN_FORCE">"c2769"</definedName>
    <definedName name="IQ_NET_LOANS">"c772"</definedName>
    <definedName name="IQ_NET_LOANS_10YR_ANN_CAGR">"c6105"</definedName>
    <definedName name="IQ_NET_LOANS_10YR_ANN_GROWTH">"c773"</definedName>
    <definedName name="IQ_NET_LOANS_1YR_ANN_GROWTH">"c774"</definedName>
    <definedName name="IQ_NET_LOANS_2YR_ANN_CAGR">"c6106"</definedName>
    <definedName name="IQ_NET_LOANS_2YR_ANN_GROWTH">"c775"</definedName>
    <definedName name="IQ_NET_LOANS_3YR_ANN_CAGR">"c6107"</definedName>
    <definedName name="IQ_NET_LOANS_3YR_ANN_GROWTH">"c776"</definedName>
    <definedName name="IQ_NET_LOANS_5YR_ANN_CAGR">"c6108"</definedName>
    <definedName name="IQ_NET_LOANS_5YR_ANN_GROWTH">"c777"</definedName>
    <definedName name="IQ_NET_LOANS_7YR_ANN_CAGR">"c6109"</definedName>
    <definedName name="IQ_NET_LOANS_7YR_ANN_GROWTH">"c778"</definedName>
    <definedName name="IQ_NET_LOANS_TOTAL_DEPOSITS">"c779"</definedName>
    <definedName name="IQ_NET_RENTAL_EXP_FN">"c780"</definedName>
    <definedName name="IQ_NET_TO_GROSS_EARNED">"c2750"</definedName>
    <definedName name="IQ_NET_TO_GROSS_WRITTEN">"c2729"</definedName>
    <definedName name="IQ_NET_WORKING_CAP">"c3493"</definedName>
    <definedName name="IQ_NET_WRITTEN">"c2728"</definedName>
    <definedName name="IQ_NEW_PREM">"c2785"</definedName>
    <definedName name="IQ_NEXT_CALL_DATE">"c2198"</definedName>
    <definedName name="IQ_NEXT_CALL_PRICE">"c2199"</definedName>
    <definedName name="IQ_NEXT_INT_DATE">"c2187"</definedName>
    <definedName name="IQ_NEXT_PUT_DATE">"c2200"</definedName>
    <definedName name="IQ_NEXT_PUT_PRICE">"c2201"</definedName>
    <definedName name="IQ_NEXT_SINK_FUND_AMOUNT">"c2490"</definedName>
    <definedName name="IQ_NEXT_SINK_FUND_DATE">"c2489"</definedName>
    <definedName name="IQ_NEXT_SINK_FUND_PRICE">"c2491"</definedName>
    <definedName name="IQ_NI">"c781"</definedName>
    <definedName name="IQ_NI_10YR_ANN_CAGR">"c6110"</definedName>
    <definedName name="IQ_NI_10YR_ANN_GROWTH">"c782"</definedName>
    <definedName name="IQ_NI_1YR_ANN_GROWTH">"c783"</definedName>
    <definedName name="IQ_NI_2YR_ANN_CAGR">"c6111"</definedName>
    <definedName name="IQ_NI_2YR_ANN_GROWTH">"c784"</definedName>
    <definedName name="IQ_NI_3YR_ANN_CAGR">"c6112"</definedName>
    <definedName name="IQ_NI_3YR_ANN_GROWTH">"c785"</definedName>
    <definedName name="IQ_NI_5YR_ANN_CAGR">"c6113"</definedName>
    <definedName name="IQ_NI_5YR_ANN_GROWTH">"c786"</definedName>
    <definedName name="IQ_NI_7YR_ANN_CAGR">"c6114"</definedName>
    <definedName name="IQ_NI_7YR_ANN_GROWTH">"c787"</definedName>
    <definedName name="IQ_NI_ACT_OR_EST">"c2222"</definedName>
    <definedName name="IQ_NI_ACT_OR_EST_REUT">"c5468"</definedName>
    <definedName name="IQ_NI_AFTER_CAPITALIZED">"c788"</definedName>
    <definedName name="IQ_NI_AVAIL_EXCL">"c789"</definedName>
    <definedName name="IQ_NI_AVAIL_EXCL_MARGIN">"c790"</definedName>
    <definedName name="IQ_NI_AVAIL_INCL">"c791"</definedName>
    <definedName name="IQ_NI_BEFORE_CAPITALIZED">"c792"</definedName>
    <definedName name="IQ_NI_CF">"c793"</definedName>
    <definedName name="IQ_NI_EST">"c1716"</definedName>
    <definedName name="IQ_NI_EST_REUT">"c5368"</definedName>
    <definedName name="IQ_NI_GAAP_GUIDANCE">"c4470"</definedName>
    <definedName name="IQ_NI_GAAP_HIGH_GUIDANCE">"c4177"</definedName>
    <definedName name="IQ_NI_GAAP_LOW_GUIDANCE">"c4217"</definedName>
    <definedName name="IQ_NI_GUIDANCE">"c4469"</definedName>
    <definedName name="IQ_NI_GW_EST_REUT">"c5375"</definedName>
    <definedName name="IQ_NI_GW_GUIDANCE">"c4471"</definedName>
    <definedName name="IQ_NI_GW_HIGH_EST_REUT">"c5377"</definedName>
    <definedName name="IQ_NI_GW_HIGH_GUIDANCE">"c4178"</definedName>
    <definedName name="IQ_NI_GW_LOW_EST_REUT">"c5378"</definedName>
    <definedName name="IQ_NI_GW_LOW_GUIDANCE">"c4218"</definedName>
    <definedName name="IQ_NI_GW_MEDIAN_EST_REUT">"c5376"</definedName>
    <definedName name="IQ_NI_GW_NUM_EST_REUT">"c5379"</definedName>
    <definedName name="IQ_NI_GW_STDDEV_EST_REUT">"c5380"</definedName>
    <definedName name="IQ_NI_HIGH_EST">"c1718"</definedName>
    <definedName name="IQ_NI_HIGH_EST_REUT">"c5370"</definedName>
    <definedName name="IQ_NI_HIGH_GUIDANCE">"c4176"</definedName>
    <definedName name="IQ_NI_LOW_EST">"c1719"</definedName>
    <definedName name="IQ_NI_LOW_EST_REUT">"c5371"</definedName>
    <definedName name="IQ_NI_LOW_GUIDANCE">"c4216"</definedName>
    <definedName name="IQ_NI_MARGIN">"c794"</definedName>
    <definedName name="IQ_NI_MEDIAN_EST">"c1717"</definedName>
    <definedName name="IQ_NI_MEDIAN_EST_REUT">"c5369"</definedName>
    <definedName name="IQ_NI_NORM">"c1901"</definedName>
    <definedName name="IQ_NI_NORM_10YR_ANN_CAGR">"c6189"</definedName>
    <definedName name="IQ_NI_NORM_10YR_ANN_GROWTH">"c1960"</definedName>
    <definedName name="IQ_NI_NORM_1YR_ANN_GROWTH">"c1955"</definedName>
    <definedName name="IQ_NI_NORM_2YR_ANN_CAGR">"c6185"</definedName>
    <definedName name="IQ_NI_NORM_2YR_ANN_GROWTH">"c1956"</definedName>
    <definedName name="IQ_NI_NORM_3YR_ANN_CAGR">"c6186"</definedName>
    <definedName name="IQ_NI_NORM_3YR_ANN_GROWTH">"c1957"</definedName>
    <definedName name="IQ_NI_NORM_5YR_ANN_CAGR">"c6187"</definedName>
    <definedName name="IQ_NI_NORM_5YR_ANN_GROWTH">"c1958"</definedName>
    <definedName name="IQ_NI_NORM_7YR_ANN_CAGR">"c6188"</definedName>
    <definedName name="IQ_NI_NORM_7YR_ANN_GROWTH">"c1959"</definedName>
    <definedName name="IQ_NI_NORM_MARGIN">"c1964"</definedName>
    <definedName name="IQ_NI_NUM_EST">"c1720"</definedName>
    <definedName name="IQ_NI_NUM_EST_REUT">"c5372"</definedName>
    <definedName name="IQ_NI_REPORTED_EST">"c1730"</definedName>
    <definedName name="IQ_NI_REPORTED_EST_REUT">"c5382"</definedName>
    <definedName name="IQ_NI_REPORTED_HIGH_EST">"c1732"</definedName>
    <definedName name="IQ_NI_REPORTED_HIGH_EST_REUT">"c5384"</definedName>
    <definedName name="IQ_NI_REPORTED_LOW_EST">"c1733"</definedName>
    <definedName name="IQ_NI_REPORTED_LOW_EST_REUT">"c5385"</definedName>
    <definedName name="IQ_NI_REPORTED_MEDIAN_EST">"c1731"</definedName>
    <definedName name="IQ_NI_REPORTED_MEDIAN_EST_REUT">"c5383"</definedName>
    <definedName name="IQ_NI_REPORTED_NUM_EST">"c1734"</definedName>
    <definedName name="IQ_NI_REPORTED_NUM_EST_REUT">"c5386"</definedName>
    <definedName name="IQ_NI_REPORTED_STDDEV_EST">"c1735"</definedName>
    <definedName name="IQ_NI_REPORTED_STDDEV_EST_REUT">"c5387"</definedName>
    <definedName name="IQ_NI_SBC_ACT_OR_EST">"c4474"</definedName>
    <definedName name="IQ_NI_SBC_EST">"c4473"</definedName>
    <definedName name="IQ_NI_SBC_GUIDANCE">"c4475"</definedName>
    <definedName name="IQ_NI_SBC_GW_ACT_OR_EST">"c4478"</definedName>
    <definedName name="IQ_NI_SBC_GW_EST">"c4477"</definedName>
    <definedName name="IQ_NI_SBC_GW_GUIDANCE">"c4479"</definedName>
    <definedName name="IQ_NI_SBC_GW_HIGH_EST">"c4480"</definedName>
    <definedName name="IQ_NI_SBC_GW_HIGH_GUIDANCE">"c4187"</definedName>
    <definedName name="IQ_NI_SBC_GW_LOW_EST">"c4481"</definedName>
    <definedName name="IQ_NI_SBC_GW_LOW_GUIDANCE">"c4227"</definedName>
    <definedName name="IQ_NI_SBC_GW_MEDIAN_EST">"c4482"</definedName>
    <definedName name="IQ_NI_SBC_GW_NUM_EST">"c4483"</definedName>
    <definedName name="IQ_NI_SBC_GW_STDDEV_EST">"c4484"</definedName>
    <definedName name="IQ_NI_SBC_HIGH_EST">"c4486"</definedName>
    <definedName name="IQ_NI_SBC_HIGH_GUIDANCE">"c4186"</definedName>
    <definedName name="IQ_NI_SBC_LOW_EST">"c4487"</definedName>
    <definedName name="IQ_NI_SBC_LOW_GUIDANCE">"c4226"</definedName>
    <definedName name="IQ_NI_SBC_MEDIAN_EST">"c4488"</definedName>
    <definedName name="IQ_NI_SBC_NUM_EST">"c4489"</definedName>
    <definedName name="IQ_NI_SBC_STDDEV_EST">"c4490"</definedName>
    <definedName name="IQ_NI_SFAS">"c795"</definedName>
    <definedName name="IQ_NI_STDDEV_EST">"c1721"</definedName>
    <definedName name="IQ_NI_STDDEV_EST_REUT">"c5373"</definedName>
    <definedName name="IQ_NOL_CF_1YR">"c3465"</definedName>
    <definedName name="IQ_NOL_CF_2YR">"c3466"</definedName>
    <definedName name="IQ_NOL_CF_3YR">"c3467"</definedName>
    <definedName name="IQ_NOL_CF_4YR">"c3468"</definedName>
    <definedName name="IQ_NOL_CF_5YR">"c3469"</definedName>
    <definedName name="IQ_NOL_CF_AFTER_FIVE">"c3470"</definedName>
    <definedName name="IQ_NOL_CF_MAX_YEAR">"c3473"</definedName>
    <definedName name="IQ_NOL_CF_NO_EXP">"c3471"</definedName>
    <definedName name="IQ_NOL_CF_TOTAL">"c3472"</definedName>
    <definedName name="IQ_NON_ACCRUAL_LOANS">"c796"</definedName>
    <definedName name="IQ_NON_CASH">"c1399"</definedName>
    <definedName name="IQ_NON_CASH_ITEMS">"c797"</definedName>
    <definedName name="IQ_NON_INS_EXP">"c798"</definedName>
    <definedName name="IQ_NON_INS_REV">"c799"</definedName>
    <definedName name="IQ_NON_INT_BEAR_CD">"c800"</definedName>
    <definedName name="IQ_NON_INT_EXP">"c801"</definedName>
    <definedName name="IQ_NON_INT_INC">"c802"</definedName>
    <definedName name="IQ_NON_INT_INC_10YR_ANN_CAGR">"c6115"</definedName>
    <definedName name="IQ_NON_INT_INC_10YR_ANN_GROWTH">"c803"</definedName>
    <definedName name="IQ_NON_INT_INC_1YR_ANN_GROWTH">"c804"</definedName>
    <definedName name="IQ_NON_INT_INC_2YR_ANN_CAGR">"c6116"</definedName>
    <definedName name="IQ_NON_INT_INC_2YR_ANN_GROWTH">"c805"</definedName>
    <definedName name="IQ_NON_INT_INC_3YR_ANN_CAGR">"c6117"</definedName>
    <definedName name="IQ_NON_INT_INC_3YR_ANN_GROWTH">"c806"</definedName>
    <definedName name="IQ_NON_INT_INC_5YR_ANN_CAGR">"c6118"</definedName>
    <definedName name="IQ_NON_INT_INC_5YR_ANN_GROWTH">"c807"</definedName>
    <definedName name="IQ_NON_INT_INC_7YR_ANN_CAGR">"c6119"</definedName>
    <definedName name="IQ_NON_INT_INC_7YR_ANN_GROWTH">"c808"</definedName>
    <definedName name="IQ_NON_INTEREST_EXP">"c1400"</definedName>
    <definedName name="IQ_NON_INTEREST_INC">"c1401"</definedName>
    <definedName name="IQ_NON_OPER_EXP">"c809"</definedName>
    <definedName name="IQ_NON_OPER_INC">"c810"</definedName>
    <definedName name="IQ_NON_PERF_ASSETS_10YR_ANN_CAGR">"c6120"</definedName>
    <definedName name="IQ_NON_PERF_ASSETS_10YR_ANN_GROWTH">"c811"</definedName>
    <definedName name="IQ_NON_PERF_ASSETS_1YR_ANN_GROWTH">"c812"</definedName>
    <definedName name="IQ_NON_PERF_ASSETS_2YR_ANN_CAGR">"c6121"</definedName>
    <definedName name="IQ_NON_PERF_ASSETS_2YR_ANN_GROWTH">"c813"</definedName>
    <definedName name="IQ_NON_PERF_ASSETS_3YR_ANN_CAGR">"c6122"</definedName>
    <definedName name="IQ_NON_PERF_ASSETS_3YR_ANN_GROWTH">"c814"</definedName>
    <definedName name="IQ_NON_PERF_ASSETS_5YR_ANN_CAGR">"c6123"</definedName>
    <definedName name="IQ_NON_PERF_ASSETS_5YR_ANN_GROWTH">"c815"</definedName>
    <definedName name="IQ_NON_PERF_ASSETS_7YR_ANN_CAGR">"c6124"</definedName>
    <definedName name="IQ_NON_PERF_ASSETS_7YR_ANN_GROWTH">"c816"</definedName>
    <definedName name="IQ_NON_PERF_ASSETS_TOTAL_ASSETS">"c817"</definedName>
    <definedName name="IQ_NON_PERF_LOANS_10YR_ANN_CAGR">"c6125"</definedName>
    <definedName name="IQ_NON_PERF_LOANS_10YR_ANN_GROWTH">"c818"</definedName>
    <definedName name="IQ_NON_PERF_LOANS_1YR_ANN_GROWTH">"c819"</definedName>
    <definedName name="IQ_NON_PERF_LOANS_2YR_ANN_CAGR">"c6126"</definedName>
    <definedName name="IQ_NON_PERF_LOANS_2YR_ANN_GROWTH">"c820"</definedName>
    <definedName name="IQ_NON_PERF_LOANS_3YR_ANN_CAGR">"c6127"</definedName>
    <definedName name="IQ_NON_PERF_LOANS_3YR_ANN_GROWTH">"c821"</definedName>
    <definedName name="IQ_NON_PERF_LOANS_5YR_ANN_CAGR">"c6128"</definedName>
    <definedName name="IQ_NON_PERF_LOANS_5YR_ANN_GROWTH">"c822"</definedName>
    <definedName name="IQ_NON_PERF_LOANS_7YR_ANN_CAGR">"c6129"</definedName>
    <definedName name="IQ_NON_PERF_LOANS_7YR_ANN_GROWTH">"c823"</definedName>
    <definedName name="IQ_NON_PERF_LOANS_TOTAL_ASSETS">"c824"</definedName>
    <definedName name="IQ_NON_PERF_LOANS_TOTAL_LOANS">"c825"</definedName>
    <definedName name="IQ_NON_PERFORMING_ASSETS">"c826"</definedName>
    <definedName name="IQ_NON_PERFORMING_LOANS">"c827"</definedName>
    <definedName name="IQ_NONCASH_PENSION_EXP">"c3000"</definedName>
    <definedName name="IQ_NONRECOURSE_DEBT">"c2550"</definedName>
    <definedName name="IQ_NONRECOURSE_DEBT_PCT">"c2551"</definedName>
    <definedName name="IQ_NONUTIL_REV">"c2089"</definedName>
    <definedName name="IQ_NORM_EPS_ACT_OR_EST">"c2249"</definedName>
    <definedName name="IQ_NORM_EPS_ACT_OR_EST_REUT">"c5472"</definedName>
    <definedName name="IQ_NORMAL_INC_AFTER">"c1605"</definedName>
    <definedName name="IQ_NORMAL_INC_AVAIL">"c1606"</definedName>
    <definedName name="IQ_NORMAL_INC_BEFORE">"c1607"</definedName>
    <definedName name="IQ_NOTES_PAY">"c1423"</definedName>
    <definedName name="IQ_NOW_ACCOUNT">"c828"</definedName>
    <definedName name="IQ_NPPE">"c829"</definedName>
    <definedName name="IQ_NPPE_10YR_ANN_CAGR">"c6130"</definedName>
    <definedName name="IQ_NPPE_10YR_ANN_GROWTH">"c830"</definedName>
    <definedName name="IQ_NPPE_1YR_ANN_GROWTH">"c831"</definedName>
    <definedName name="IQ_NPPE_2YR_ANN_CAGR">"c6131"</definedName>
    <definedName name="IQ_NPPE_2YR_ANN_GROWTH">"c832"</definedName>
    <definedName name="IQ_NPPE_3YR_ANN_CAGR">"c6132"</definedName>
    <definedName name="IQ_NPPE_3YR_ANN_GROWTH">"c833"</definedName>
    <definedName name="IQ_NPPE_5YR_ANN_CAGR">"c6133"</definedName>
    <definedName name="IQ_NPPE_5YR_ANN_GROWTH">"c834"</definedName>
    <definedName name="IQ_NPPE_7YR_ANN_CAGR">"c6134"</definedName>
    <definedName name="IQ_NPPE_7YR_ANN_GROWTH">"c835"</definedName>
    <definedName name="IQ_NTM">6000</definedName>
    <definedName name="IQ_NUKE">"c836"</definedName>
    <definedName name="IQ_NUKE_CF">"c837"</definedName>
    <definedName name="IQ_NUKE_CONTR">"c838"</definedName>
    <definedName name="IQ_NUM_BRANCHES">"c2088"</definedName>
    <definedName name="IQ_NUMBER_ADRHOLDERS">"c1970"</definedName>
    <definedName name="IQ_NUMBER_DAYS">"c1904"</definedName>
    <definedName name="IQ_NUMBER_SHAREHOLDERS">"c1967"</definedName>
    <definedName name="IQ_NUMBER_SHAREHOLDERS_CLASSA">"c1968"</definedName>
    <definedName name="IQ_NUMBER_SHAREHOLDERS_OTHER">"c1969"</definedName>
    <definedName name="IQ_OCCUPY_EXP">"c839"</definedName>
    <definedName name="IQ_OFFER_AMOUNT">"c2152"</definedName>
    <definedName name="IQ_OFFER_COUPON">"c2147"</definedName>
    <definedName name="IQ_OFFER_COUPON_TYPE">"c2148"</definedName>
    <definedName name="IQ_OFFER_DATE">"c2149"</definedName>
    <definedName name="IQ_OFFER_PRICE">"c2150"</definedName>
    <definedName name="IQ_OFFER_YIELD">"c2151"</definedName>
    <definedName name="IQ_OG_10DISC">"c1998"</definedName>
    <definedName name="IQ_OG_10DISC_GAS">"c2018"</definedName>
    <definedName name="IQ_OG_10DISC_OIL">"c2008"</definedName>
    <definedName name="IQ_OG_ACQ_COST_PROVED">"c1975"</definedName>
    <definedName name="IQ_OG_ACQ_COST_PROVED_GAS">"c1987"</definedName>
    <definedName name="IQ_OG_ACQ_COST_PROVED_OIL">"c1981"</definedName>
    <definedName name="IQ_OG_ACQ_COST_UNPROVED">"c1976"</definedName>
    <definedName name="IQ_OG_ACQ_COST_UNPROVED_GAS">"c1988"</definedName>
    <definedName name="IQ_OG_ACQ_COST_UNPROVED_OIL">"c1982"</definedName>
    <definedName name="IQ_OG_AVG_DAILY_PROD_GAS">"c2910"</definedName>
    <definedName name="IQ_OG_AVG_DAILY_PROD_NGL">"c2911"</definedName>
    <definedName name="IQ_OG_AVG_DAILY_PROD_OIL">"c2909"</definedName>
    <definedName name="IQ_OG_AVG_DAILY_SALES_VOL_EQ_INC_GAS">"c5797"</definedName>
    <definedName name="IQ_OG_AVG_DAILY_SALES_VOL_EQ_INC_NGL">"c5798"</definedName>
    <definedName name="IQ_OG_AVG_DAILY_SALES_VOL_EQ_INC_OIL">"c5796"</definedName>
    <definedName name="IQ_OG_CLOSE_BALANCE_GAS">"c2049"</definedName>
    <definedName name="IQ_OG_CLOSE_BALANCE_NGL">"c2920"</definedName>
    <definedName name="IQ_OG_CLOSE_BALANCE_OIL">"c2037"</definedName>
    <definedName name="IQ_OG_DCF_BEFORE_TAXES">"c2023"</definedName>
    <definedName name="IQ_OG_DCF_BEFORE_TAXES_GAS">"c2025"</definedName>
    <definedName name="IQ_OG_DCF_BEFORE_TAXES_OIL">"c2024"</definedName>
    <definedName name="IQ_OG_DEVELOPED_ACRE_GROSS_EQ_INC">"c5802"</definedName>
    <definedName name="IQ_OG_DEVELOPED_ACRE_NET_EQ_INC">"c5803"</definedName>
    <definedName name="IQ_OG_DEVELOPED_RESERVES_GAS">"c2053"</definedName>
    <definedName name="IQ_OG_DEVELOPED_RESERVES_NGL">"c2922"</definedName>
    <definedName name="IQ_OG_DEVELOPED_RESERVES_OIL">"c2054"</definedName>
    <definedName name="IQ_OG_DEVELOPMENT_COSTS">"c1978"</definedName>
    <definedName name="IQ_OG_DEVELOPMENT_COSTS_GAS">"c1990"</definedName>
    <definedName name="IQ_OG_DEVELOPMENT_COSTS_OIL">"c1984"</definedName>
    <definedName name="IQ_OG_EQUITY_DCF">"c2002"</definedName>
    <definedName name="IQ_OG_EQUITY_DCF_GAS">"c2022"</definedName>
    <definedName name="IQ_OG_EQUITY_DCF_OIL">"c2012"</definedName>
    <definedName name="IQ_OG_EQUTY_RESERVES_GAS">"c2050"</definedName>
    <definedName name="IQ_OG_EQUTY_RESERVES_NGL">"c2921"</definedName>
    <definedName name="IQ_OG_EQUTY_RESERVES_OIL">"c2038"</definedName>
    <definedName name="IQ_OG_EXPLORATION_COSTS">"c1977"</definedName>
    <definedName name="IQ_OG_EXPLORATION_COSTS_GAS">"c1989"</definedName>
    <definedName name="IQ_OG_EXPLORATION_COSTS_OIL">"c1983"</definedName>
    <definedName name="IQ_OG_EXT_DISC_GAS">"c2043"</definedName>
    <definedName name="IQ_OG_EXT_DISC_NGL">"c2914"</definedName>
    <definedName name="IQ_OG_EXT_DISC_OIL">"c2031"</definedName>
    <definedName name="IQ_OG_FUTURE_CASH_INFLOWS">"c1993"</definedName>
    <definedName name="IQ_OG_FUTURE_CASH_INFLOWS_GAS">"c2013"</definedName>
    <definedName name="IQ_OG_FUTURE_CASH_INFLOWS_OIL">"c2003"</definedName>
    <definedName name="IQ_OG_FUTURE_DEVELOPMENT_COSTS">"c1995"</definedName>
    <definedName name="IQ_OG_FUTURE_DEVELOPMENT_COSTS_GAS">"c2015"</definedName>
    <definedName name="IQ_OG_FUTURE_DEVELOPMENT_COSTS_OIL">"c2005"</definedName>
    <definedName name="IQ_OG_FUTURE_INC_TAXES">"c1997"</definedName>
    <definedName name="IQ_OG_FUTURE_INC_TAXES_GAS">"c2017"</definedName>
    <definedName name="IQ_OG_FUTURE_INC_TAXES_OIL">"c2007"</definedName>
    <definedName name="IQ_OG_FUTURE_PRODUCTION_COSTS">"c1994"</definedName>
    <definedName name="IQ_OG_FUTURE_PRODUCTION_COSTS_GAS">"c2014"</definedName>
    <definedName name="IQ_OG_FUTURE_PRODUCTION_COSTS_OIL">"c2004"</definedName>
    <definedName name="IQ_OG_GAS_PRICE_HEDGED">"c2056"</definedName>
    <definedName name="IQ_OG_GAS_PRICE_UNHEDGED">"c2058"</definedName>
    <definedName name="IQ_OG_IMPROVED_RECOVERY_GAS">"c2044"</definedName>
    <definedName name="IQ_OG_IMPROVED_RECOVERY_NGL">"c2915"</definedName>
    <definedName name="IQ_OG_IMPROVED_RECOVERY_OIL">"c2032"</definedName>
    <definedName name="IQ_OG_LIQUID_GAS_PRICE_HEDGED">"c2233"</definedName>
    <definedName name="IQ_OG_LIQUID_GAS_PRICE_UNHEDGED">"c2234"</definedName>
    <definedName name="IQ_OG_NET_FUTURE_CASH_FLOWS">"c1996"</definedName>
    <definedName name="IQ_OG_NET_FUTURE_CASH_FLOWS_GAS">"c2016"</definedName>
    <definedName name="IQ_OG_NET_FUTURE_CASH_FLOWS_OIL">"c2006"</definedName>
    <definedName name="IQ_OG_OIL_PRICE_HEDGED">"c2055"</definedName>
    <definedName name="IQ_OG_OIL_PRICE_UNHEDGED">"c2057"</definedName>
    <definedName name="IQ_OG_OPEN_BALANCE_GAS">"c2041"</definedName>
    <definedName name="IQ_OG_OPEN_BALANCE_NGL">"c2912"</definedName>
    <definedName name="IQ_OG_OPEN_BALANCE_OIL">"c2029"</definedName>
    <definedName name="IQ_OG_OTHER_ADJ_FCF">"c1999"</definedName>
    <definedName name="IQ_OG_OTHER_ADJ_FCF_GAS">"c2019"</definedName>
    <definedName name="IQ_OG_OTHER_ADJ_FCF_OIL">"c2009"</definedName>
    <definedName name="IQ_OG_OTHER_ADJ_GAS">"c2048"</definedName>
    <definedName name="IQ_OG_OTHER_ADJ_NGL">"c2919"</definedName>
    <definedName name="IQ_OG_OTHER_ADJ_OIL">"c2036"</definedName>
    <definedName name="IQ_OG_OTHER_COSTS">"c1979"</definedName>
    <definedName name="IQ_OG_OTHER_COSTS_GAS">"c1991"</definedName>
    <definedName name="IQ_OG_OTHER_COSTS_OIL">"c1985"</definedName>
    <definedName name="IQ_OG_PRODUCTION_GAS">"c2047"</definedName>
    <definedName name="IQ_OG_PRODUCTION_NGL">"c2918"</definedName>
    <definedName name="IQ_OG_PRODUCTION_OIL">"c2035"</definedName>
    <definedName name="IQ_OG_PURCHASES_GAS">"c2045"</definedName>
    <definedName name="IQ_OG_PURCHASES_NGL">"c2916"</definedName>
    <definedName name="IQ_OG_PURCHASES_OIL">"c2033"</definedName>
    <definedName name="IQ_OG_RESERVE_REPLACEMENT_RATIO">"c5799"</definedName>
    <definedName name="IQ_OG_REVISIONS_GAS">"c2042"</definedName>
    <definedName name="IQ_OG_REVISIONS_NGL">"c2913"</definedName>
    <definedName name="IQ_OG_REVISIONS_OIL">"c2030"</definedName>
    <definedName name="IQ_OG_SALES_IN_PLACE_GAS">"c2046"</definedName>
    <definedName name="IQ_OG_SALES_IN_PLACE_NGL">"c2917"</definedName>
    <definedName name="IQ_OG_SALES_IN_PLACE_OIL">"c2034"</definedName>
    <definedName name="IQ_OG_SALES_VOL_EQ_INC_GAS">"c5794"</definedName>
    <definedName name="IQ_OG_SALES_VOL_EQ_INC_NGL">"c5795"</definedName>
    <definedName name="IQ_OG_SALES_VOL_EQ_INC_OIL">"c5793"</definedName>
    <definedName name="IQ_OG_STANDARDIZED_DCF">"c2000"</definedName>
    <definedName name="IQ_OG_STANDARDIZED_DCF_GAS">"c2020"</definedName>
    <definedName name="IQ_OG_STANDARDIZED_DCF_HEDGED">"c2001"</definedName>
    <definedName name="IQ_OG_STANDARDIZED_DCF_HEDGED_GAS">"c2021"</definedName>
    <definedName name="IQ_OG_STANDARDIZED_DCF_HEDGED_OIL">"c2011"</definedName>
    <definedName name="IQ_OG_STANDARDIZED_DCF_OIL">"c2010"</definedName>
    <definedName name="IQ_OG_TAXES">"c2026"</definedName>
    <definedName name="IQ_OG_TAXES_GAS">"c2028"</definedName>
    <definedName name="IQ_OG_TAXES_OIL">"c2027"</definedName>
    <definedName name="IQ_OG_TOTAL_COSTS">"c1980"</definedName>
    <definedName name="IQ_OG_TOTAL_COSTS_GAS">"c1992"</definedName>
    <definedName name="IQ_OG_TOTAL_COSTS_OIL">"c1986"</definedName>
    <definedName name="IQ_OG_TOTAL_EST_PROVED_RESERVES_GAS">"c2052"</definedName>
    <definedName name="IQ_OG_TOTAL_GAS_PRODUCTION">"c2060"</definedName>
    <definedName name="IQ_OG_TOTAL_LIQUID_GAS_PRODUCTION">"c2235"</definedName>
    <definedName name="IQ_OG_TOTAL_OIL_PRODUCTION">"c2059"</definedName>
    <definedName name="IQ_OG_TOTAL_OIL_PRODUCTON">"c2059"</definedName>
    <definedName name="IQ_OG_UNDEVELOPED_ACRE_GROSS_EQ_INC">"c5800"</definedName>
    <definedName name="IQ_OG_UNDEVELOPED_ACRE_NET_EQ_INC">"c5801"</definedName>
    <definedName name="IQ_OG_UNDEVELOPED_RESERVES_GAS">"c2051"</definedName>
    <definedName name="IQ_OG_UNDEVELOPED_RESERVES_NGL">"c2923"</definedName>
    <definedName name="IQ_OG_UNDEVELOPED_RESERVES_OIL">"c2039"</definedName>
    <definedName name="IQ_OIL_IMPAIR">"c840"</definedName>
    <definedName name="IQ_OL_COMM_AFTER_FIVE">"c841"</definedName>
    <definedName name="IQ_OL_COMM_CY">"c842"</definedName>
    <definedName name="IQ_OL_COMM_CY1">"c843"</definedName>
    <definedName name="IQ_OL_COMM_CY2">"c844"</definedName>
    <definedName name="IQ_OL_COMM_CY3">"c845"</definedName>
    <definedName name="IQ_OL_COMM_CY4">"c846"</definedName>
    <definedName name="IQ_OL_COMM_NEXT_FIVE">"c847"</definedName>
    <definedName name="IQ_OPEB_ACCRUED_LIAB">"c3308"</definedName>
    <definedName name="IQ_OPEB_ACCRUED_LIAB_DOM">"c3306"</definedName>
    <definedName name="IQ_OPEB_ACCRUED_LIAB_FOREIGN">"c3307"</definedName>
    <definedName name="IQ_OPEB_ACCUM_OTHER_CI">"c3314"</definedName>
    <definedName name="IQ_OPEB_ACCUM_OTHER_CI_DOM">"c3312"</definedName>
    <definedName name="IQ_OPEB_ACCUM_OTHER_CI_FOREIGN">"c3313"</definedName>
    <definedName name="IQ_OPEB_ACT_NEXT">"c5774"</definedName>
    <definedName name="IQ_OPEB_ACT_NEXT_DOM">"c5772"</definedName>
    <definedName name="IQ_OPEB_ACT_NEXT_FOREIGN">"c5773"</definedName>
    <definedName name="IQ_OPEB_AMT_RECOG_NEXT">"c5783"</definedName>
    <definedName name="IQ_OPEB_AMT_RECOG_NEXT_DOM">"c5781"</definedName>
    <definedName name="IQ_OPEB_AMT_RECOG_NEXT_FOREIGN">"c5782"</definedName>
    <definedName name="IQ_OPEB_ASSETS">"c3356"</definedName>
    <definedName name="IQ_OPEB_ASSETS_ACQ">"c3347"</definedName>
    <definedName name="IQ_OPEB_ASSETS_ACQ_DOM">"c3345"</definedName>
    <definedName name="IQ_OPEB_ASSETS_ACQ_FOREIGN">"c3346"</definedName>
    <definedName name="IQ_OPEB_ASSETS_ACTUAL_RETURN">"c3332"</definedName>
    <definedName name="IQ_OPEB_ASSETS_ACTUAL_RETURN_DOM">"c3330"</definedName>
    <definedName name="IQ_OPEB_ASSETS_ACTUAL_RETURN_FOREIGN">"c3331"</definedName>
    <definedName name="IQ_OPEB_ASSETS_BEG">"c3329"</definedName>
    <definedName name="IQ_OPEB_ASSETS_BEG_DOM">"c3327"</definedName>
    <definedName name="IQ_OPEB_ASSETS_BEG_FOREIGN">"c3328"</definedName>
    <definedName name="IQ_OPEB_ASSETS_BENEFITS_PAID">"c3341"</definedName>
    <definedName name="IQ_OPEB_ASSETS_BENEFITS_PAID_DOM">"c3339"</definedName>
    <definedName name="IQ_OPEB_ASSETS_BENEFITS_PAID_FOREIGN">"c3340"</definedName>
    <definedName name="IQ_OPEB_ASSETS_CURTAIL">"c3350"</definedName>
    <definedName name="IQ_OPEB_ASSETS_CURTAIL_DOM">"c3348"</definedName>
    <definedName name="IQ_OPEB_ASSETS_CURTAIL_FOREIGN">"c3349"</definedName>
    <definedName name="IQ_OPEB_ASSETS_DOM">"c3354"</definedName>
    <definedName name="IQ_OPEB_ASSETS_EMPLOYER_CONTRIBUTIONS">"c3335"</definedName>
    <definedName name="IQ_OPEB_ASSETS_EMPLOYER_CONTRIBUTIONS_DOM">"c3333"</definedName>
    <definedName name="IQ_OPEB_ASSETS_EMPLOYER_CONTRIBUTIONS_FOREIGN">"c3334"</definedName>
    <definedName name="IQ_OPEB_ASSETS_FOREIGN">"c3355"</definedName>
    <definedName name="IQ_OPEB_ASSETS_FX_ADJ">"c3344"</definedName>
    <definedName name="IQ_OPEB_ASSETS_FX_ADJ_DOM">"c3342"</definedName>
    <definedName name="IQ_OPEB_ASSETS_FX_ADJ_FOREIGN">"c3343"</definedName>
    <definedName name="IQ_OPEB_ASSETS_OTHER_PLAN_ADJ">"c3353"</definedName>
    <definedName name="IQ_OPEB_ASSETS_OTHER_PLAN_ADJ_DOM">"c3351"</definedName>
    <definedName name="IQ_OPEB_ASSETS_OTHER_PLAN_ADJ_FOREIGN">"c3352"</definedName>
    <definedName name="IQ_OPEB_ASSETS_PARTICIP_CONTRIBUTIONS">"c3338"</definedName>
    <definedName name="IQ_OPEB_ASSETS_PARTICIP_CONTRIBUTIONS_DOM">"c3336"</definedName>
    <definedName name="IQ_OPEB_ASSETS_PARTICIP_CONTRIBUTIONS_FOREIGN">"c3337"</definedName>
    <definedName name="IQ_OPEB_BENEFIT_INFO_DATE">"c3410"</definedName>
    <definedName name="IQ_OPEB_BENEFIT_INFO_DATE_DOM">"c3408"</definedName>
    <definedName name="IQ_OPEB_BENEFIT_INFO_DATE_FOREIGN">"c3409"</definedName>
    <definedName name="IQ_OPEB_BREAKDOWN_EQ">"c3275"</definedName>
    <definedName name="IQ_OPEB_BREAKDOWN_EQ_DOM">"c3273"</definedName>
    <definedName name="IQ_OPEB_BREAKDOWN_EQ_FOREIGN">"c3274"</definedName>
    <definedName name="IQ_OPEB_BREAKDOWN_FI">"c3278"</definedName>
    <definedName name="IQ_OPEB_BREAKDOWN_FI_DOM">"c3276"</definedName>
    <definedName name="IQ_OPEB_BREAKDOWN_FI_FOREIGN">"c3277"</definedName>
    <definedName name="IQ_OPEB_BREAKDOWN_OTHER">"c3284"</definedName>
    <definedName name="IQ_OPEB_BREAKDOWN_OTHER_DOM">"c3282"</definedName>
    <definedName name="IQ_OPEB_BREAKDOWN_OTHER_FOREIGN">"c3283"</definedName>
    <definedName name="IQ_OPEB_BREAKDOWN_PCT_EQ">"c3263"</definedName>
    <definedName name="IQ_OPEB_BREAKDOWN_PCT_EQ_DOM">"c3261"</definedName>
    <definedName name="IQ_OPEB_BREAKDOWN_PCT_EQ_FOREIGN">"c3262"</definedName>
    <definedName name="IQ_OPEB_BREAKDOWN_PCT_FI">"c3266"</definedName>
    <definedName name="IQ_OPEB_BREAKDOWN_PCT_FI_DOM">"c3264"</definedName>
    <definedName name="IQ_OPEB_BREAKDOWN_PCT_FI_FOREIGN">"c3265"</definedName>
    <definedName name="IQ_OPEB_BREAKDOWN_PCT_OTHER">"c3272"</definedName>
    <definedName name="IQ_OPEB_BREAKDOWN_PCT_OTHER_DOM">"c3270"</definedName>
    <definedName name="IQ_OPEB_BREAKDOWN_PCT_OTHER_FOREIGN">"c3271"</definedName>
    <definedName name="IQ_OPEB_BREAKDOWN_PCT_RE">"c3269"</definedName>
    <definedName name="IQ_OPEB_BREAKDOWN_PCT_RE_DOM">"c3267"</definedName>
    <definedName name="IQ_OPEB_BREAKDOWN_PCT_RE_FOREIGN">"c3268"</definedName>
    <definedName name="IQ_OPEB_BREAKDOWN_RE">"c3281"</definedName>
    <definedName name="IQ_OPEB_BREAKDOWN_RE_DOM">"c3279"</definedName>
    <definedName name="IQ_OPEB_BREAKDOWN_RE_FOREIGN">"c3280"</definedName>
    <definedName name="IQ_OPEB_CI_ACT">"c5759"</definedName>
    <definedName name="IQ_OPEB_CI_ACT_DOM">"c5757"</definedName>
    <definedName name="IQ_OPEB_CI_ACT_FOREIGN">"c5758"</definedName>
    <definedName name="IQ_OPEB_CI_NET_AMT_RECOG">"c5771"</definedName>
    <definedName name="IQ_OPEB_CI_NET_AMT_RECOG_DOM">"c5769"</definedName>
    <definedName name="IQ_OPEB_CI_NET_AMT_RECOG_FOREIGN">"c5770"</definedName>
    <definedName name="IQ_OPEB_CI_OTHER_MISC_ADJ">"c5768"</definedName>
    <definedName name="IQ_OPEB_CI_OTHER_MISC_ADJ_DOM">"c5766"</definedName>
    <definedName name="IQ_OPEB_CI_OTHER_MISC_ADJ_FOREIGN">"c5767"</definedName>
    <definedName name="IQ_OPEB_CI_PRIOR_SERVICE">"c5762"</definedName>
    <definedName name="IQ_OPEB_CI_PRIOR_SERVICE_DOM">"c5760"</definedName>
    <definedName name="IQ_OPEB_CI_PRIOR_SERVICE_FOREIGN">"c5761"</definedName>
    <definedName name="IQ_OPEB_CI_TRANSITION">"c5765"</definedName>
    <definedName name="IQ_OPEB_CI_TRANSITION_DOM">"c5763"</definedName>
    <definedName name="IQ_OPEB_CI_TRANSITION_FOREIGN">"c5764"</definedName>
    <definedName name="IQ_OPEB_CL">"c5789"</definedName>
    <definedName name="IQ_OPEB_CL_DOM">"c5787"</definedName>
    <definedName name="IQ_OPEB_CL_FOREIGN">"c5788"</definedName>
    <definedName name="IQ_OPEB_DECREASE_EFFECT_PBO">"c3458"</definedName>
    <definedName name="IQ_OPEB_DECREASE_EFFECT_PBO_DOM">"c3456"</definedName>
    <definedName name="IQ_OPEB_DECREASE_EFFECT_PBO_FOREIGN">"c3457"</definedName>
    <definedName name="IQ_OPEB_DECREASE_EFFECT_SERVICE_INT_COST">"c3455"</definedName>
    <definedName name="IQ_OPEB_DECREASE_EFFECT_SERVICE_INT_COST_DOM">"c3453"</definedName>
    <definedName name="IQ_OPEB_DECREASE_EFFECT_SERVICE_INT_COST_FOREIGN">"c3454"</definedName>
    <definedName name="IQ_OPEB_DISC_RATE_MAX">"c3422"</definedName>
    <definedName name="IQ_OPEB_DISC_RATE_MAX_DOM">"c3420"</definedName>
    <definedName name="IQ_OPEB_DISC_RATE_MAX_FOREIGN">"c3421"</definedName>
    <definedName name="IQ_OPEB_DISC_RATE_MIN">"c3419"</definedName>
    <definedName name="IQ_OPEB_DISC_RATE_MIN_DOM">"c3417"</definedName>
    <definedName name="IQ_OPEB_DISC_RATE_MIN_FOREIGN">"c3418"</definedName>
    <definedName name="IQ_OPEB_EST_BENEFIT_1YR">"c3287"</definedName>
    <definedName name="IQ_OPEB_EST_BENEFIT_1YR_DOM">"c3285"</definedName>
    <definedName name="IQ_OPEB_EST_BENEFIT_1YR_FOREIGN">"c3286"</definedName>
    <definedName name="IQ_OPEB_EST_BENEFIT_2YR">"c3290"</definedName>
    <definedName name="IQ_OPEB_EST_BENEFIT_2YR_DOM">"c3288"</definedName>
    <definedName name="IQ_OPEB_EST_BENEFIT_2YR_FOREIGN">"c3289"</definedName>
    <definedName name="IQ_OPEB_EST_BENEFIT_3YR">"c3293"</definedName>
    <definedName name="IQ_OPEB_EST_BENEFIT_3YR_DOM">"c3291"</definedName>
    <definedName name="IQ_OPEB_EST_BENEFIT_3YR_FOREIGN">"c3292"</definedName>
    <definedName name="IQ_OPEB_EST_BENEFIT_4YR">"c3296"</definedName>
    <definedName name="IQ_OPEB_EST_BENEFIT_4YR_DOM">"c3294"</definedName>
    <definedName name="IQ_OPEB_EST_BENEFIT_4YR_FOREIGN">"c3295"</definedName>
    <definedName name="IQ_OPEB_EST_BENEFIT_5YR">"c3299"</definedName>
    <definedName name="IQ_OPEB_EST_BENEFIT_5YR_DOM">"c3297"</definedName>
    <definedName name="IQ_OPEB_EST_BENEFIT_5YR_FOREIGN">"c3298"</definedName>
    <definedName name="IQ_OPEB_EST_BENEFIT_AFTER5">"c3302"</definedName>
    <definedName name="IQ_OPEB_EST_BENEFIT_AFTER5_DOM">"c3300"</definedName>
    <definedName name="IQ_OPEB_EST_BENEFIT_AFTER5_FOREIGN">"c3301"</definedName>
    <definedName name="IQ_OPEB_EXP_RATE_RETURN_MAX">"c3434"</definedName>
    <definedName name="IQ_OPEB_EXP_RATE_RETURN_MAX_DOM">"c3432"</definedName>
    <definedName name="IQ_OPEB_EXP_RATE_RETURN_MAX_FOREIGN">"c3433"</definedName>
    <definedName name="IQ_OPEB_EXP_RATE_RETURN_MIN">"c3431"</definedName>
    <definedName name="IQ_OPEB_EXP_RATE_RETURN_MIN_DOM">"c3429"</definedName>
    <definedName name="IQ_OPEB_EXP_RATE_RETURN_MIN_FOREIGN">"c3430"</definedName>
    <definedName name="IQ_OPEB_EXP_RETURN">"c3398"</definedName>
    <definedName name="IQ_OPEB_EXP_RETURN_DOM">"c3396"</definedName>
    <definedName name="IQ_OPEB_EXP_RETURN_FOREIGN">"c3397"</definedName>
    <definedName name="IQ_OPEB_HEALTH_COST_TREND_INITIAL">"c3413"</definedName>
    <definedName name="IQ_OPEB_HEALTH_COST_TREND_INITIAL_DOM">"c3411"</definedName>
    <definedName name="IQ_OPEB_HEALTH_COST_TREND_INITIAL_FOREIGN">"c3412"</definedName>
    <definedName name="IQ_OPEB_HEALTH_COST_TREND_ULTIMATE">"c3416"</definedName>
    <definedName name="IQ_OPEB_HEALTH_COST_TREND_ULTIMATE_DOM">"c3414"</definedName>
    <definedName name="IQ_OPEB_HEALTH_COST_TREND_ULTIMATE_FOREIGN">"c3415"</definedName>
    <definedName name="IQ_OPEB_INCREASE_EFFECT_PBO">"c3452"</definedName>
    <definedName name="IQ_OPEB_INCREASE_EFFECT_PBO_DOM">"c3450"</definedName>
    <definedName name="IQ_OPEB_INCREASE_EFFECT_PBO_FOREIGN">"c3451"</definedName>
    <definedName name="IQ_OPEB_INCREASE_EFFECT_SERVICE_INT_COST">"c3449"</definedName>
    <definedName name="IQ_OPEB_INCREASE_EFFECT_SERVICE_INT_COST_DOM">"c3447"</definedName>
    <definedName name="IQ_OPEB_INCREASE_EFFECT_SERVICE_INT_COST_FOREIGN">"c3448"</definedName>
    <definedName name="IQ_OPEB_INTAN_ASSETS">"c3311"</definedName>
    <definedName name="IQ_OPEB_INTAN_ASSETS_DOM">"c3309"</definedName>
    <definedName name="IQ_OPEB_INTAN_ASSETS_FOREIGN">"c3310"</definedName>
    <definedName name="IQ_OPEB_INTEREST_COST">"c3395"</definedName>
    <definedName name="IQ_OPEB_INTEREST_COST_DOM">"c3393"</definedName>
    <definedName name="IQ_OPEB_INTEREST_COST_FOREIGN">"c3394"</definedName>
    <definedName name="IQ_OPEB_LT_ASSETS">"c5786"</definedName>
    <definedName name="IQ_OPEB_LT_ASSETS_DOM">"c5784"</definedName>
    <definedName name="IQ_OPEB_LT_ASSETS_FOREIGN">"c5785"</definedName>
    <definedName name="IQ_OPEB_LT_LIAB">"c5792"</definedName>
    <definedName name="IQ_OPEB_LT_LIAB_DOM">"c5790"</definedName>
    <definedName name="IQ_OPEB_LT_LIAB_FOREIGN">"c5791"</definedName>
    <definedName name="IQ_OPEB_NET_ASSET_RECOG">"c3326"</definedName>
    <definedName name="IQ_OPEB_NET_ASSET_RECOG_DOM">"c3324"</definedName>
    <definedName name="IQ_OPEB_NET_ASSET_RECOG_FOREIGN">"c3325"</definedName>
    <definedName name="IQ_OPEB_OBLIGATION_ACCUMULATED">"c3407"</definedName>
    <definedName name="IQ_OPEB_OBLIGATION_ACCUMULATED_DOM">"c3405"</definedName>
    <definedName name="IQ_OPEB_OBLIGATION_ACCUMULATED_FOREIGN">"c3406"</definedName>
    <definedName name="IQ_OPEB_OBLIGATION_ACQ">"c3380"</definedName>
    <definedName name="IQ_OPEB_OBLIGATION_ACQ_DOM">"c3378"</definedName>
    <definedName name="IQ_OPEB_OBLIGATION_ACQ_FOREIGN">"c3379"</definedName>
    <definedName name="IQ_OPEB_OBLIGATION_ACTUARIAL_GAIN_LOSS">"c3371"</definedName>
    <definedName name="IQ_OPEB_OBLIGATION_ACTUARIAL_GAIN_LOSS_DOM">"c3369"</definedName>
    <definedName name="IQ_OPEB_OBLIGATION_ACTUARIAL_GAIN_LOSS_FOREIGN">"c3370"</definedName>
    <definedName name="IQ_OPEB_OBLIGATION_BEG">"c3359"</definedName>
    <definedName name="IQ_OPEB_OBLIGATION_BEG_DOM">"c3357"</definedName>
    <definedName name="IQ_OPEB_OBLIGATION_BEG_FOREIGN">"c3358"</definedName>
    <definedName name="IQ_OPEB_OBLIGATION_CURTAIL">"c3383"</definedName>
    <definedName name="IQ_OPEB_OBLIGATION_CURTAIL_DOM">"c3381"</definedName>
    <definedName name="IQ_OPEB_OBLIGATION_CURTAIL_FOREIGN">"c3382"</definedName>
    <definedName name="IQ_OPEB_OBLIGATION_EMPLOYEE_CONTRIBUTIONS">"c3368"</definedName>
    <definedName name="IQ_OPEB_OBLIGATION_EMPLOYEE_CONTRIBUTIONS_DOM">"c3366"</definedName>
    <definedName name="IQ_OPEB_OBLIGATION_EMPLOYEE_CONTRIBUTIONS_FOREIGN">"c3367"</definedName>
    <definedName name="IQ_OPEB_OBLIGATION_FX_ADJ">"c3377"</definedName>
    <definedName name="IQ_OPEB_OBLIGATION_FX_ADJ_DOM">"c3375"</definedName>
    <definedName name="IQ_OPEB_OBLIGATION_FX_ADJ_FOREIGN">"c3376"</definedName>
    <definedName name="IQ_OPEB_OBLIGATION_INTEREST_COST">"c3365"</definedName>
    <definedName name="IQ_OPEB_OBLIGATION_INTEREST_COST_DOM">"c3363"</definedName>
    <definedName name="IQ_OPEB_OBLIGATION_INTEREST_COST_FOREIGN">"c3364"</definedName>
    <definedName name="IQ_OPEB_OBLIGATION_OTHER_PLAN_ADJ">"c3386"</definedName>
    <definedName name="IQ_OPEB_OBLIGATION_OTHER_PLAN_ADJ_DOM">"c3384"</definedName>
    <definedName name="IQ_OPEB_OBLIGATION_OTHER_PLAN_ADJ_FOREIGN">"c3385"</definedName>
    <definedName name="IQ_OPEB_OBLIGATION_PAID">"c3374"</definedName>
    <definedName name="IQ_OPEB_OBLIGATION_PAID_DOM">"c3372"</definedName>
    <definedName name="IQ_OPEB_OBLIGATION_PAID_FOREIGN">"c3373"</definedName>
    <definedName name="IQ_OPEB_OBLIGATION_PROJECTED">"c3389"</definedName>
    <definedName name="IQ_OPEB_OBLIGATION_PROJECTED_DOM">"c3387"</definedName>
    <definedName name="IQ_OPEB_OBLIGATION_PROJECTED_FOREIGN">"c3388"</definedName>
    <definedName name="IQ_OPEB_OBLIGATION_SERVICE_COST">"c3362"</definedName>
    <definedName name="IQ_OPEB_OBLIGATION_SERVICE_COST_DOM">"c3360"</definedName>
    <definedName name="IQ_OPEB_OBLIGATION_SERVICE_COST_FOREIGN">"c3361"</definedName>
    <definedName name="IQ_OPEB_OTHER">"c3317"</definedName>
    <definedName name="IQ_OPEB_OTHER_ADJ">"c3323"</definedName>
    <definedName name="IQ_OPEB_OTHER_ADJ_DOM">"c3321"</definedName>
    <definedName name="IQ_OPEB_OTHER_ADJ_FOREIGN">"c3322"</definedName>
    <definedName name="IQ_OPEB_OTHER_COST">"c3401"</definedName>
    <definedName name="IQ_OPEB_OTHER_COST_DOM">"c3399"</definedName>
    <definedName name="IQ_OPEB_OTHER_COST_FOREIGN">"c3400"</definedName>
    <definedName name="IQ_OPEB_OTHER_DOM">"c3315"</definedName>
    <definedName name="IQ_OPEB_OTHER_FOREIGN">"c3316"</definedName>
    <definedName name="IQ_OPEB_PBO_ASSUMED_RATE_RET_MAX">"c3440"</definedName>
    <definedName name="IQ_OPEB_PBO_ASSUMED_RATE_RET_MAX_DOM">"c3438"</definedName>
    <definedName name="IQ_OPEB_PBO_ASSUMED_RATE_RET_MAX_FOREIGN">"c3439"</definedName>
    <definedName name="IQ_OPEB_PBO_ASSUMED_RATE_RET_MIN">"c3437"</definedName>
    <definedName name="IQ_OPEB_PBO_ASSUMED_RATE_RET_MIN_DOM">"c3435"</definedName>
    <definedName name="IQ_OPEB_PBO_ASSUMED_RATE_RET_MIN_FOREIGN">"c3436"</definedName>
    <definedName name="IQ_OPEB_PBO_RATE_COMP_INCREASE_MAX">"c3446"</definedName>
    <definedName name="IQ_OPEB_PBO_RATE_COMP_INCREASE_MAX_DOM">"c3444"</definedName>
    <definedName name="IQ_OPEB_PBO_RATE_COMP_INCREASE_MAX_FOREIGN">"c3445"</definedName>
    <definedName name="IQ_OPEB_PBO_RATE_COMP_INCREASE_MIN">"c3443"</definedName>
    <definedName name="IQ_OPEB_PBO_RATE_COMP_INCREASE_MIN_DOM">"c3441"</definedName>
    <definedName name="IQ_OPEB_PBO_RATE_COMP_INCREASE_MIN_FOREIGN">"c3442"</definedName>
    <definedName name="IQ_OPEB_PREPAID_COST">"c3305"</definedName>
    <definedName name="IQ_OPEB_PREPAID_COST_DOM">"c3303"</definedName>
    <definedName name="IQ_OPEB_PREPAID_COST_FOREIGN">"c3304"</definedName>
    <definedName name="IQ_OPEB_PRIOR_SERVICE_NEXT">"c5777"</definedName>
    <definedName name="IQ_OPEB_PRIOR_SERVICE_NEXT_DOM">"c5775"</definedName>
    <definedName name="IQ_OPEB_PRIOR_SERVICE_NEXT_FOREIGN">"c5776"</definedName>
    <definedName name="IQ_OPEB_RATE_COMP_INCREASE_MAX">"c3428"</definedName>
    <definedName name="IQ_OPEB_RATE_COMP_INCREASE_MAX_DOM">"c3426"</definedName>
    <definedName name="IQ_OPEB_RATE_COMP_INCREASE_MAX_FOREIGN">"c3427"</definedName>
    <definedName name="IQ_OPEB_RATE_COMP_INCREASE_MIN">"c3425"</definedName>
    <definedName name="IQ_OPEB_RATE_COMP_INCREASE_MIN_DOM">"c3423"</definedName>
    <definedName name="IQ_OPEB_RATE_COMP_INCREASE_MIN_FOREIGN">"c3424"</definedName>
    <definedName name="IQ_OPEB_SERVICE_COST">"c3392"</definedName>
    <definedName name="IQ_OPEB_SERVICE_COST_DOM">"c3390"</definedName>
    <definedName name="IQ_OPEB_SERVICE_COST_FOREIGN">"c3391"</definedName>
    <definedName name="IQ_OPEB_TOTAL_COST">"c3404"</definedName>
    <definedName name="IQ_OPEB_TOTAL_COST_DOM">"c3402"</definedName>
    <definedName name="IQ_OPEB_TOTAL_COST_FOREIGN">"c3403"</definedName>
    <definedName name="IQ_OPEB_TRANSITION_NEXT">"c5780"</definedName>
    <definedName name="IQ_OPEB_TRANSITION_NEXT_DOM">"c5778"</definedName>
    <definedName name="IQ_OPEB_TRANSITION_NEXT_FOREIGN">"c5779"</definedName>
    <definedName name="IQ_OPEB_UNRECOG_PRIOR">"c3320"</definedName>
    <definedName name="IQ_OPEB_UNRECOG_PRIOR_DOM">"c3318"</definedName>
    <definedName name="IQ_OPEB_UNRECOG_PRIOR_FOREIGN">"c3319"</definedName>
    <definedName name="IQ_OPENPRICE">"c848"</definedName>
    <definedName name="IQ_OPER_INC">"c849"</definedName>
    <definedName name="IQ_OPER_INC_ACT_OR_EST">"c2220"</definedName>
    <definedName name="IQ_OPER_INC_ACT_OR_EST_REUT">"c5466"</definedName>
    <definedName name="IQ_OPER_INC_BR">"c850"</definedName>
    <definedName name="IQ_OPER_INC_EST">"c1688"</definedName>
    <definedName name="IQ_OPER_INC_EST_REUT">"c5340"</definedName>
    <definedName name="IQ_OPER_INC_FIN">"c851"</definedName>
    <definedName name="IQ_OPER_INC_HIGH_EST">"c1690"</definedName>
    <definedName name="IQ_OPER_INC_HIGH_EST_REUT">"c5342"</definedName>
    <definedName name="IQ_OPER_INC_INS">"c852"</definedName>
    <definedName name="IQ_OPER_INC_LOW_EST">"c1691"</definedName>
    <definedName name="IQ_OPER_INC_LOW_EST_REUT">"c5343"</definedName>
    <definedName name="IQ_OPER_INC_MARGIN">"c1448"</definedName>
    <definedName name="IQ_OPER_INC_MEDIAN_EST">"c1689"</definedName>
    <definedName name="IQ_OPER_INC_MEDIAN_EST_REUT">"c5341"</definedName>
    <definedName name="IQ_OPER_INC_NUM_EST">"c1692"</definedName>
    <definedName name="IQ_OPER_INC_NUM_EST_REUT">"c5344"</definedName>
    <definedName name="IQ_OPER_INC_RE">"c6240"</definedName>
    <definedName name="IQ_OPER_INC_REIT">"c853"</definedName>
    <definedName name="IQ_OPER_INC_STDDEV_EST">"c1693"</definedName>
    <definedName name="IQ_OPER_INC_STDDEV_EST_REUT">"c5345"</definedName>
    <definedName name="IQ_OPER_INC_UTI">"c854"</definedName>
    <definedName name="IQ_OPERATIONS_EXP">"c855"</definedName>
    <definedName name="IQ_OPTIONS_BEG_OS">"c1572"</definedName>
    <definedName name="IQ_OPTIONS_CANCELLED">"c856"</definedName>
    <definedName name="IQ_OPTIONS_END_OS">"c1573"</definedName>
    <definedName name="IQ_OPTIONS_EXERCISABLE_END_OS">"c5804"</definedName>
    <definedName name="IQ_OPTIONS_EXERCISED">"c2116"</definedName>
    <definedName name="IQ_OPTIONS_GRANTED">"c2673"</definedName>
    <definedName name="IQ_OPTIONS_ISSUED">"c857"</definedName>
    <definedName name="IQ_OPTIONS_STRIKE_PRICE_BEG_OS">"c5805"</definedName>
    <definedName name="IQ_OPTIONS_STRIKE_PRICE_CANCELLED">"c5807"</definedName>
    <definedName name="IQ_OPTIONS_STRIKE_PRICE_EXERCISABLE">"c5808"</definedName>
    <definedName name="IQ_OPTIONS_STRIKE_PRICE_EXERCISED">"c5806"</definedName>
    <definedName name="IQ_OPTIONS_STRIKE_PRICE_GRANTED">"c2678"</definedName>
    <definedName name="IQ_OPTIONS_STRIKE_PRICE_OS">"c2677"</definedName>
    <definedName name="IQ_ORDER_BACKLOG">"c2090"</definedName>
    <definedName name="IQ_OTHER_ADJUST_GROSS_LOANS">"c859"</definedName>
    <definedName name="IQ_OTHER_AMORT">"c5563"</definedName>
    <definedName name="IQ_OTHER_AMORT_BNK">"c5565"</definedName>
    <definedName name="IQ_OTHER_AMORT_BR">"c5566"</definedName>
    <definedName name="IQ_OTHER_AMORT_FIN">"c5567"</definedName>
    <definedName name="IQ_OTHER_AMORT_INS">"c5568"</definedName>
    <definedName name="IQ_OTHER_AMORT_RE">"c6287"</definedName>
    <definedName name="IQ_OTHER_AMORT_REIT">"c5569"</definedName>
    <definedName name="IQ_OTHER_AMORT_UTI">"c5570"</definedName>
    <definedName name="IQ_OTHER_ASSETS">"c860"</definedName>
    <definedName name="IQ_OTHER_ASSETS_BNK">"c861"</definedName>
    <definedName name="IQ_OTHER_ASSETS_BR">"c862"</definedName>
    <definedName name="IQ_OTHER_ASSETS_FIN">"c863"</definedName>
    <definedName name="IQ_OTHER_ASSETS_INS">"c864"</definedName>
    <definedName name="IQ_OTHER_ASSETS_RE">"c6241"</definedName>
    <definedName name="IQ_OTHER_ASSETS_REIT">"c865"</definedName>
    <definedName name="IQ_OTHER_ASSETS_SERV_RIGHTS">"c2243"</definedName>
    <definedName name="IQ_OTHER_ASSETS_UTI">"c866"</definedName>
    <definedName name="IQ_OTHER_BEARING_LIAB">"c1608"</definedName>
    <definedName name="IQ_OTHER_BENEFITS_OBLIGATION">"c867"</definedName>
    <definedName name="IQ_OTHER_CA">"c868"</definedName>
    <definedName name="IQ_OTHER_CA_SUPPL">"c869"</definedName>
    <definedName name="IQ_OTHER_CA_SUPPL_BNK">"c870"</definedName>
    <definedName name="IQ_OTHER_CA_SUPPL_BR">"c871"</definedName>
    <definedName name="IQ_OTHER_CA_SUPPL_FIN">"c872"</definedName>
    <definedName name="IQ_OTHER_CA_SUPPL_INS">"c873"</definedName>
    <definedName name="IQ_OTHER_CA_SUPPL_RE">"c6242"</definedName>
    <definedName name="IQ_OTHER_CA_SUPPL_REIT">"c874"</definedName>
    <definedName name="IQ_OTHER_CA_SUPPL_UTI">"c875"</definedName>
    <definedName name="IQ_OTHER_CA_UTI">"c876"</definedName>
    <definedName name="IQ_OTHER_CL">"c877"</definedName>
    <definedName name="IQ_OTHER_CL_SUPPL">"c878"</definedName>
    <definedName name="IQ_OTHER_CL_SUPPL_BNK">"c879"</definedName>
    <definedName name="IQ_OTHER_CL_SUPPL_BR">"c880"</definedName>
    <definedName name="IQ_OTHER_CL_SUPPL_FIN">"c881"</definedName>
    <definedName name="IQ_OTHER_CL_SUPPL_INS">"C6021"</definedName>
    <definedName name="IQ_OTHER_CL_SUPPL_RE">"c6243"</definedName>
    <definedName name="IQ_OTHER_CL_SUPPL_REIT">"c882"</definedName>
    <definedName name="IQ_OTHER_CL_SUPPL_UTI">"c883"</definedName>
    <definedName name="IQ_OTHER_CL_UTI">"c884"</definedName>
    <definedName name="IQ_OTHER_CURRENT_ASSETS">"c1403"</definedName>
    <definedName name="IQ_OTHER_CURRENT_LIAB">"c1404"</definedName>
    <definedName name="IQ_OTHER_DEBT">"c2507"</definedName>
    <definedName name="IQ_OTHER_DEBT_PCT">"c2508"</definedName>
    <definedName name="IQ_OTHER_DEP">"c885"</definedName>
    <definedName name="IQ_OTHER_EARNING">"c1609"</definedName>
    <definedName name="IQ_OTHER_EQUITY">"c886"</definedName>
    <definedName name="IQ_OTHER_EQUITY_BNK">"c887"</definedName>
    <definedName name="IQ_OTHER_EQUITY_BR">"c888"</definedName>
    <definedName name="IQ_OTHER_EQUITY_FIN">"c889"</definedName>
    <definedName name="IQ_OTHER_EQUITY_INS">"c890"</definedName>
    <definedName name="IQ_OTHER_EQUITY_RE">"c6244"</definedName>
    <definedName name="IQ_OTHER_EQUITY_REIT">"c891"</definedName>
    <definedName name="IQ_OTHER_EQUITY_UTI">"c892"</definedName>
    <definedName name="IQ_OTHER_FINANCE_ACT">"c893"</definedName>
    <definedName name="IQ_OTHER_FINANCE_ACT_BNK">"c894"</definedName>
    <definedName name="IQ_OTHER_FINANCE_ACT_BR">"c895"</definedName>
    <definedName name="IQ_OTHER_FINANCE_ACT_FIN">"c896"</definedName>
    <definedName name="IQ_OTHER_FINANCE_ACT_INS">"c897"</definedName>
    <definedName name="IQ_OTHER_FINANCE_ACT_RE">"c6245"</definedName>
    <definedName name="IQ_OTHER_FINANCE_ACT_REIT">"c898"</definedName>
    <definedName name="IQ_OTHER_FINANCE_ACT_SUPPL">"c899"</definedName>
    <definedName name="IQ_OTHER_FINANCE_ACT_SUPPL_BNK">"c900"</definedName>
    <definedName name="IQ_OTHER_FINANCE_ACT_SUPPL_BR">"c901"</definedName>
    <definedName name="IQ_OTHER_FINANCE_ACT_SUPPL_FIN">"c902"</definedName>
    <definedName name="IQ_OTHER_FINANCE_ACT_SUPPL_INS">"c903"</definedName>
    <definedName name="IQ_OTHER_FINANCE_ACT_SUPPL_RE">"c6246"</definedName>
    <definedName name="IQ_OTHER_FINANCE_ACT_SUPPL_REIT">"c904"</definedName>
    <definedName name="IQ_OTHER_FINANCE_ACT_SUPPL_UTI">"c905"</definedName>
    <definedName name="IQ_OTHER_FINANCE_ACT_UTI">"c906"</definedName>
    <definedName name="IQ_OTHER_INTAN">"c907"</definedName>
    <definedName name="IQ_OTHER_INTAN_BNK">"c908"</definedName>
    <definedName name="IQ_OTHER_INTAN_BR">"c909"</definedName>
    <definedName name="IQ_OTHER_INTAN_FIN">"c910"</definedName>
    <definedName name="IQ_OTHER_INTAN_INS">"c911"</definedName>
    <definedName name="IQ_OTHER_INTAN_RE">"c6247"</definedName>
    <definedName name="IQ_OTHER_INTAN_REIT">"c912"</definedName>
    <definedName name="IQ_OTHER_INTAN_UTI">"c913"</definedName>
    <definedName name="IQ_OTHER_INV">"c914"</definedName>
    <definedName name="IQ_OTHER_INVEST">"c915"</definedName>
    <definedName name="IQ_OTHER_INVEST_ACT">"c916"</definedName>
    <definedName name="IQ_OTHER_INVEST_ACT_BNK">"c917"</definedName>
    <definedName name="IQ_OTHER_INVEST_ACT_BR">"c918"</definedName>
    <definedName name="IQ_OTHER_INVEST_ACT_FIN">"c919"</definedName>
    <definedName name="IQ_OTHER_INVEST_ACT_INS">"c920"</definedName>
    <definedName name="IQ_OTHER_INVEST_ACT_RE">"c6248"</definedName>
    <definedName name="IQ_OTHER_INVEST_ACT_REIT">"c921"</definedName>
    <definedName name="IQ_OTHER_INVEST_ACT_SUPPL">"c922"</definedName>
    <definedName name="IQ_OTHER_INVEST_ACT_SUPPL_BNK">"c923"</definedName>
    <definedName name="IQ_OTHER_INVEST_ACT_SUPPL_BR">"c924"</definedName>
    <definedName name="IQ_OTHER_INVEST_ACT_SUPPL_FIN">"c925"</definedName>
    <definedName name="IQ_OTHER_INVEST_ACT_SUPPL_INS">"c926"</definedName>
    <definedName name="IQ_OTHER_INVEST_ACT_SUPPL_RE">"c6249"</definedName>
    <definedName name="IQ_OTHER_INVEST_ACT_SUPPL_REIT">"c927"</definedName>
    <definedName name="IQ_OTHER_INVEST_ACT_SUPPL_UTI">"c928"</definedName>
    <definedName name="IQ_OTHER_INVEST_ACT_UTI">"c929"</definedName>
    <definedName name="IQ_OTHER_INVESTING">"c1408"</definedName>
    <definedName name="IQ_OTHER_LIAB">"c930"</definedName>
    <definedName name="IQ_OTHER_LIAB_BNK">"c931"</definedName>
    <definedName name="IQ_OTHER_LIAB_BR">"c932"</definedName>
    <definedName name="IQ_OTHER_LIAB_FIN">"c933"</definedName>
    <definedName name="IQ_OTHER_LIAB_INS">"c934"</definedName>
    <definedName name="IQ_OTHER_LIAB_LT">"c935"</definedName>
    <definedName name="IQ_OTHER_LIAB_LT_BNK">"c936"</definedName>
    <definedName name="IQ_OTHER_LIAB_LT_BR">"c937"</definedName>
    <definedName name="IQ_OTHER_LIAB_LT_FIN">"c938"</definedName>
    <definedName name="IQ_OTHER_LIAB_LT_INS">"c939"</definedName>
    <definedName name="IQ_OTHER_LIAB_LT_RE">"c6250"</definedName>
    <definedName name="IQ_OTHER_LIAB_LT_REIT">"c940"</definedName>
    <definedName name="IQ_OTHER_LIAB_LT_UTI">"c941"</definedName>
    <definedName name="IQ_OTHER_LIAB_RE">"c6251"</definedName>
    <definedName name="IQ_OTHER_LIAB_REIT">"c942"</definedName>
    <definedName name="IQ_OTHER_LIAB_UTI">"c943"</definedName>
    <definedName name="IQ_OTHER_LIAB_WRITTEN">"c944"</definedName>
    <definedName name="IQ_OTHER_LOANS">"c945"</definedName>
    <definedName name="IQ_OTHER_LONG_TERM">"c1409"</definedName>
    <definedName name="IQ_OTHER_LT_ASSETS">"c946"</definedName>
    <definedName name="IQ_OTHER_LT_ASSETS_BNK">"c947"</definedName>
    <definedName name="IQ_OTHER_LT_ASSETS_BR">"c948"</definedName>
    <definedName name="IQ_OTHER_LT_ASSETS_FIN">"c949"</definedName>
    <definedName name="IQ_OTHER_LT_ASSETS_INS">"c950"</definedName>
    <definedName name="IQ_OTHER_LT_ASSETS_RE">"c6252"</definedName>
    <definedName name="IQ_OTHER_LT_ASSETS_REIT">"c951"</definedName>
    <definedName name="IQ_OTHER_LT_ASSETS_UTI">"c952"</definedName>
    <definedName name="IQ_OTHER_NET">"c1453"</definedName>
    <definedName name="IQ_OTHER_NON_INT_EXP">"c953"</definedName>
    <definedName name="IQ_OTHER_NON_INT_EXP_TOTAL">"c954"</definedName>
    <definedName name="IQ_OTHER_NON_INT_INC">"c955"</definedName>
    <definedName name="IQ_OTHER_NON_OPER_EXP">"c956"</definedName>
    <definedName name="IQ_OTHER_NON_OPER_EXP_BR">"c957"</definedName>
    <definedName name="IQ_OTHER_NON_OPER_EXP_FIN">"c958"</definedName>
    <definedName name="IQ_OTHER_NON_OPER_EXP_INS">"c959"</definedName>
    <definedName name="IQ_OTHER_NON_OPER_EXP_RE">"c6253"</definedName>
    <definedName name="IQ_OTHER_NON_OPER_EXP_REIT">"c960"</definedName>
    <definedName name="IQ_OTHER_NON_OPER_EXP_SUPPL">"c961"</definedName>
    <definedName name="IQ_OTHER_NON_OPER_EXP_SUPPL_BR">"c962"</definedName>
    <definedName name="IQ_OTHER_NON_OPER_EXP_SUPPL_FIN">"c963"</definedName>
    <definedName name="IQ_OTHER_NON_OPER_EXP_SUPPL_INS">"c964"</definedName>
    <definedName name="IQ_OTHER_NON_OPER_EXP_SUPPL_RE">"c6254"</definedName>
    <definedName name="IQ_OTHER_NON_OPER_EXP_SUPPL_REIT">"c965"</definedName>
    <definedName name="IQ_OTHER_NON_OPER_EXP_SUPPL_UTI">"c966"</definedName>
    <definedName name="IQ_OTHER_NON_OPER_EXP_UTI">"c967"</definedName>
    <definedName name="IQ_OTHER_OPER">"c982"</definedName>
    <definedName name="IQ_OTHER_OPER_ACT">"c983"</definedName>
    <definedName name="IQ_OTHER_OPER_ACT_BNK">"c984"</definedName>
    <definedName name="IQ_OTHER_OPER_ACT_BR">"c985"</definedName>
    <definedName name="IQ_OTHER_OPER_ACT_FIN">"c986"</definedName>
    <definedName name="IQ_OTHER_OPER_ACT_INS">"c987"</definedName>
    <definedName name="IQ_OTHER_OPER_ACT_RE">"c6255"</definedName>
    <definedName name="IQ_OTHER_OPER_ACT_REIT">"c988"</definedName>
    <definedName name="IQ_OTHER_OPER_ACT_UTI">"c989"</definedName>
    <definedName name="IQ_OTHER_OPER_BR">"c990"</definedName>
    <definedName name="IQ_OTHER_OPER_FIN">"c991"</definedName>
    <definedName name="IQ_OTHER_OPER_INS">"c992"</definedName>
    <definedName name="IQ_OTHER_OPER_RE">"c6256"</definedName>
    <definedName name="IQ_OTHER_OPER_REIT">"c993"</definedName>
    <definedName name="IQ_OTHER_OPER_SUPPL_BR">"c994"</definedName>
    <definedName name="IQ_OTHER_OPER_SUPPL_FIN">"c995"</definedName>
    <definedName name="IQ_OTHER_OPER_SUPPL_INS">"c996"</definedName>
    <definedName name="IQ_OTHER_OPER_SUPPL_RE">"c6257"</definedName>
    <definedName name="IQ_OTHER_OPER_SUPPL_REIT">"c997"</definedName>
    <definedName name="IQ_OTHER_OPER_SUPPL_UTI">"c998"</definedName>
    <definedName name="IQ_OTHER_OPER_TOT_BNK">"c999"</definedName>
    <definedName name="IQ_OTHER_OPER_TOT_BR">"c1000"</definedName>
    <definedName name="IQ_OTHER_OPER_TOT_FIN">"c1001"</definedName>
    <definedName name="IQ_OTHER_OPER_TOT_INS">"c1002"</definedName>
    <definedName name="IQ_OTHER_OPER_TOT_RE">"c6258"</definedName>
    <definedName name="IQ_OTHER_OPER_TOT_REIT">"c1003"</definedName>
    <definedName name="IQ_OTHER_OPER_TOT_UTI">"c1004"</definedName>
    <definedName name="IQ_OTHER_OPER_UTI">"c1005"</definedName>
    <definedName name="IQ_OTHER_OPTIONS_BEG_OS">"c2686"</definedName>
    <definedName name="IQ_OTHER_OPTIONS_CANCELLED">"c2689"</definedName>
    <definedName name="IQ_OTHER_OPTIONS_END_OS">"c2690"</definedName>
    <definedName name="IQ_OTHER_OPTIONS_EXERCISABLE_END_OS">"c5814"</definedName>
    <definedName name="IQ_OTHER_OPTIONS_EXERCISED">"c2688"</definedName>
    <definedName name="IQ_OTHER_OPTIONS_GRANTED">"c2687"</definedName>
    <definedName name="IQ_OTHER_OPTIONS_STRIKE_PRICE_BEG_OS">"c5815"</definedName>
    <definedName name="IQ_OTHER_OPTIONS_STRIKE_PRICE_CANCELLED">"c5817"</definedName>
    <definedName name="IQ_OTHER_OPTIONS_STRIKE_PRICE_EXERCISABLE">"c5818"</definedName>
    <definedName name="IQ_OTHER_OPTIONS_STRIKE_PRICE_EXERCISED">"c5816"</definedName>
    <definedName name="IQ_OTHER_OPTIONS_STRIKE_PRICE_OS">"c2691"</definedName>
    <definedName name="IQ_OTHER_OUTSTANDING_BS_DATE">"c1972"</definedName>
    <definedName name="IQ_OTHER_OUTSTANDING_FILING_DATE">"c1974"</definedName>
    <definedName name="IQ_OTHER_PC_WRITTEN">"c1006"</definedName>
    <definedName name="IQ_OTHER_REAL_ESTATE">"c1007"</definedName>
    <definedName name="IQ_OTHER_RECEIV">"c1008"</definedName>
    <definedName name="IQ_OTHER_RECEIV_INS">"c1009"</definedName>
    <definedName name="IQ_OTHER_REV">"c1010"</definedName>
    <definedName name="IQ_OTHER_REV_BR">"c1011"</definedName>
    <definedName name="IQ_OTHER_REV_FIN">"c1012"</definedName>
    <definedName name="IQ_OTHER_REV_INS">"c1013"</definedName>
    <definedName name="IQ_OTHER_REV_RE">"c6259"</definedName>
    <definedName name="IQ_OTHER_REV_REIT">"c1014"</definedName>
    <definedName name="IQ_OTHER_REV_SUPPL">"c1015"</definedName>
    <definedName name="IQ_OTHER_REV_SUPPL_BR">"c1016"</definedName>
    <definedName name="IQ_OTHER_REV_SUPPL_FIN">"c1017"</definedName>
    <definedName name="IQ_OTHER_REV_SUPPL_INS">"c1018"</definedName>
    <definedName name="IQ_OTHER_REV_SUPPL_RE">"c6260"</definedName>
    <definedName name="IQ_OTHER_REV_SUPPL_REIT">"c1019"</definedName>
    <definedName name="IQ_OTHER_REV_SUPPL_UTI">"c1020"</definedName>
    <definedName name="IQ_OTHER_REV_UTI">"c1021"</definedName>
    <definedName name="IQ_OTHER_REVENUE">"c1410"</definedName>
    <definedName name="IQ_OTHER_STRIKE_PRICE_GRANTED">"c2692"</definedName>
    <definedName name="IQ_OTHER_UNDRAWN">"c2522"</definedName>
    <definedName name="IQ_OTHER_UNUSUAL">"c1488"</definedName>
    <definedName name="IQ_OTHER_UNUSUAL_BNK">"c1560"</definedName>
    <definedName name="IQ_OTHER_UNUSUAL_BR">"c1561"</definedName>
    <definedName name="IQ_OTHER_UNUSUAL_FIN">"c1562"</definedName>
    <definedName name="IQ_OTHER_UNUSUAL_INS">"c1563"</definedName>
    <definedName name="IQ_OTHER_UNUSUAL_RE">"c6282"</definedName>
    <definedName name="IQ_OTHER_UNUSUAL_REIT">"c1564"</definedName>
    <definedName name="IQ_OTHER_UNUSUAL_SUPPL">"c1494"</definedName>
    <definedName name="IQ_OTHER_UNUSUAL_SUPPL_BNK">"c1495"</definedName>
    <definedName name="IQ_OTHER_UNUSUAL_SUPPL_BR">"c1496"</definedName>
    <definedName name="IQ_OTHER_UNUSUAL_SUPPL_FIN">"c1497"</definedName>
    <definedName name="IQ_OTHER_UNUSUAL_SUPPL_INS">"c1498"</definedName>
    <definedName name="IQ_OTHER_UNUSUAL_SUPPL_RE">"c6281"</definedName>
    <definedName name="IQ_OTHER_UNUSUAL_SUPPL_REIT">"c1499"</definedName>
    <definedName name="IQ_OTHER_UNUSUAL_SUPPL_UTI">"c1500"</definedName>
    <definedName name="IQ_OTHER_UNUSUAL_UTI">"c1565"</definedName>
    <definedName name="IQ_OTHER_WARRANTS_BEG_OS">"c2712"</definedName>
    <definedName name="IQ_OTHER_WARRANTS_CANCELLED">"c2715"</definedName>
    <definedName name="IQ_OTHER_WARRANTS_END_OS">"c2716"</definedName>
    <definedName name="IQ_OTHER_WARRANTS_EXERCISED">"c2714"</definedName>
    <definedName name="IQ_OTHER_WARRANTS_ISSUED">"c2713"</definedName>
    <definedName name="IQ_OTHER_WARRANTS_STRIKE_PRICE_ISSUED">"c2718"</definedName>
    <definedName name="IQ_OTHER_WARRANTS_STRIKE_PRICE_OS">"c2717"</definedName>
    <definedName name="IQ_OUTSTANDING_BS_DATE">"c2128"</definedName>
    <definedName name="IQ_OUTSTANDING_FILING_DATE">"c1023"</definedName>
    <definedName name="IQ_OWNERSHIP">"c2160"</definedName>
    <definedName name="IQ_PART_TIME">"c1024"</definedName>
    <definedName name="IQ_PAY_ACCRUED">"c1457"</definedName>
    <definedName name="IQ_PAYOUT_RATIO">"c1900"</definedName>
    <definedName name="IQ_PBV">"c1025"</definedName>
    <definedName name="IQ_PBV_AVG">"c1026"</definedName>
    <definedName name="IQ_PC_EARNED">"c2749"</definedName>
    <definedName name="IQ_PC_GAAP_COMBINED_RATIO">"c2781"</definedName>
    <definedName name="IQ_PC_GAAP_COMBINED_RATIO_EXCL_CL">"c2782"</definedName>
    <definedName name="IQ_PC_GAAP_EXPENSE_RATIO">"c2780"</definedName>
    <definedName name="IQ_PC_GAAP_LOSS">"c2779"</definedName>
    <definedName name="IQ_PC_POLICY_BENEFITS_EXP">"c2790"</definedName>
    <definedName name="IQ_PC_STAT_COMBINED_RATIO">"c2778"</definedName>
    <definedName name="IQ_PC_STAT_COMBINED_RATIO_EXCL_DIV">"c2777"</definedName>
    <definedName name="IQ_PC_STAT_DIVIDEND_RATIO">"c2776"</definedName>
    <definedName name="IQ_PC_STAT_EXPENSE_RATIO">"c2775"</definedName>
    <definedName name="IQ_PC_STAT_LOSS_RATIO">"c2774"</definedName>
    <definedName name="IQ_PC_STATUTORY_SURPLUS">"c2770"</definedName>
    <definedName name="IQ_PC_WRITTEN">"c1027"</definedName>
    <definedName name="IQ_PE_EXCL">"c1028"</definedName>
    <definedName name="IQ_PE_EXCL_AVG">"c1029"</definedName>
    <definedName name="IQ_PE_EXCL_FWD">"c1030"</definedName>
    <definedName name="IQ_PE_EXCL_FWD_REUT">"c4049"</definedName>
    <definedName name="IQ_PE_NORMALIZED">"c2207"</definedName>
    <definedName name="IQ_PE_RATIO">"c1610"</definedName>
    <definedName name="IQ_PEG_FWD">"c1863"</definedName>
    <definedName name="IQ_PEG_FWD_REUT">"c4052"</definedName>
    <definedName name="IQ_PENSION">"c1031"</definedName>
    <definedName name="IQ_PENSION_ACCRUED_LIAB">"c3134"</definedName>
    <definedName name="IQ_PENSION_ACCRUED_LIAB_DOM">"c3132"</definedName>
    <definedName name="IQ_PENSION_ACCRUED_LIAB_FOREIGN">"c3133"</definedName>
    <definedName name="IQ_PENSION_ACCUM_OTHER_CI">"c3140"</definedName>
    <definedName name="IQ_PENSION_ACCUM_OTHER_CI_DOM">"c3138"</definedName>
    <definedName name="IQ_PENSION_ACCUM_OTHER_CI_FOREIGN">"c3139"</definedName>
    <definedName name="IQ_PENSION_ACCUMULATED_OBLIGATION">"c3570"</definedName>
    <definedName name="IQ_PENSION_ACCUMULATED_OBLIGATION_DOMESTIC">"c3568"</definedName>
    <definedName name="IQ_PENSION_ACCUMULATED_OBLIGATION_FOREIGN">"c3569"</definedName>
    <definedName name="IQ_PENSION_ACT_NEXT">"c5738"</definedName>
    <definedName name="IQ_PENSION_ACT_NEXT_DOM">"c5736"</definedName>
    <definedName name="IQ_PENSION_ACT_NEXT_FOREIGN">"c5737"</definedName>
    <definedName name="IQ_PENSION_AMT_RECOG_NEXT_DOM">"c5745"</definedName>
    <definedName name="IQ_PENSION_AMT_RECOG_NEXT_FOREIGN">"c5746"</definedName>
    <definedName name="IQ_PENSION_AMT_RECOG_PERIOD">"c5747"</definedName>
    <definedName name="IQ_PENSION_ASSETS">"c3182"</definedName>
    <definedName name="IQ_PENSION_ASSETS_ACQ">"c3173"</definedName>
    <definedName name="IQ_PENSION_ASSETS_ACQ_DOM">"c3171"</definedName>
    <definedName name="IQ_PENSION_ASSETS_ACQ_FOREIGN">"c3172"</definedName>
    <definedName name="IQ_PENSION_ASSETS_ACTUAL_RETURN">"c3158"</definedName>
    <definedName name="IQ_PENSION_ASSETS_ACTUAL_RETURN_DOM">"c3156"</definedName>
    <definedName name="IQ_PENSION_ASSETS_ACTUAL_RETURN_FOREIGN">"c3157"</definedName>
    <definedName name="IQ_PENSION_ASSETS_BEG">"c3155"</definedName>
    <definedName name="IQ_PENSION_ASSETS_BEG_DOM">"c3153"</definedName>
    <definedName name="IQ_PENSION_ASSETS_BEG_FOREIGN">"c3154"</definedName>
    <definedName name="IQ_PENSION_ASSETS_BENEFITS_PAID">"c3167"</definedName>
    <definedName name="IQ_PENSION_ASSETS_BENEFITS_PAID_DOM">"c3165"</definedName>
    <definedName name="IQ_PENSION_ASSETS_BENEFITS_PAID_FOREIGN">"c3166"</definedName>
    <definedName name="IQ_PENSION_ASSETS_CURTAIL">"c3176"</definedName>
    <definedName name="IQ_PENSION_ASSETS_CURTAIL_DOM">"c3174"</definedName>
    <definedName name="IQ_PENSION_ASSETS_CURTAIL_FOREIGN">"c3175"</definedName>
    <definedName name="IQ_PENSION_ASSETS_DOM">"c3180"</definedName>
    <definedName name="IQ_PENSION_ASSETS_EMPLOYER_CONTRIBUTIONS">"c3161"</definedName>
    <definedName name="IQ_PENSION_ASSETS_EMPLOYER_CONTRIBUTIONS_DOM">"c3159"</definedName>
    <definedName name="IQ_PENSION_ASSETS_EMPLOYER_CONTRIBUTIONS_FOREIGN">"c3160"</definedName>
    <definedName name="IQ_PENSION_ASSETS_FOREIGN">"c3181"</definedName>
    <definedName name="IQ_PENSION_ASSETS_FX_ADJ">"c3170"</definedName>
    <definedName name="IQ_PENSION_ASSETS_FX_ADJ_DOM">"c3168"</definedName>
    <definedName name="IQ_PENSION_ASSETS_FX_ADJ_FOREIGN">"c3169"</definedName>
    <definedName name="IQ_PENSION_ASSETS_OTHER_PLAN_ADJ">"c3179"</definedName>
    <definedName name="IQ_PENSION_ASSETS_OTHER_PLAN_ADJ_DOM">"c3177"</definedName>
    <definedName name="IQ_PENSION_ASSETS_OTHER_PLAN_ADJ_FOREIGN">"c3178"</definedName>
    <definedName name="IQ_PENSION_ASSETS_PARTICIP_CONTRIBUTIONS">"c3164"</definedName>
    <definedName name="IQ_PENSION_ASSETS_PARTICIP_CONTRIBUTIONS_DOM">"c3162"</definedName>
    <definedName name="IQ_PENSION_ASSETS_PARTICIP_CONTRIBUTIONS_FOREIGN">"c3163"</definedName>
    <definedName name="IQ_PENSION_BENEFIT_INFO_DATE">"c3230"</definedName>
    <definedName name="IQ_PENSION_BENEFIT_INFO_DATE_DOM">"c3228"</definedName>
    <definedName name="IQ_PENSION_BENEFIT_INFO_DATE_FOREIGN">"c3229"</definedName>
    <definedName name="IQ_PENSION_BREAKDOWN_EQ">"c3101"</definedName>
    <definedName name="IQ_PENSION_BREAKDOWN_EQ_DOM">"c3099"</definedName>
    <definedName name="IQ_PENSION_BREAKDOWN_EQ_FOREIGN">"c3100"</definedName>
    <definedName name="IQ_PENSION_BREAKDOWN_FI">"c3104"</definedName>
    <definedName name="IQ_PENSION_BREAKDOWN_FI_DOM">"c3102"</definedName>
    <definedName name="IQ_PENSION_BREAKDOWN_FI_FOREIGN">"c3103"</definedName>
    <definedName name="IQ_PENSION_BREAKDOWN_OTHER">"c3110"</definedName>
    <definedName name="IQ_PENSION_BREAKDOWN_OTHER_DOM">"c3108"</definedName>
    <definedName name="IQ_PENSION_BREAKDOWN_OTHER_FOREIGN">"c3109"</definedName>
    <definedName name="IQ_PENSION_BREAKDOWN_PCT_EQ">"c3089"</definedName>
    <definedName name="IQ_PENSION_BREAKDOWN_PCT_EQ_DOM">"c3087"</definedName>
    <definedName name="IQ_PENSION_BREAKDOWN_PCT_EQ_FOREIGN">"c3088"</definedName>
    <definedName name="IQ_PENSION_BREAKDOWN_PCT_FI">"c3092"</definedName>
    <definedName name="IQ_PENSION_BREAKDOWN_PCT_FI_DOM">"c3090"</definedName>
    <definedName name="IQ_PENSION_BREAKDOWN_PCT_FI_FOREIGN">"c3091"</definedName>
    <definedName name="IQ_PENSION_BREAKDOWN_PCT_OTHER">"c3098"</definedName>
    <definedName name="IQ_PENSION_BREAKDOWN_PCT_OTHER_DOM">"c3096"</definedName>
    <definedName name="IQ_PENSION_BREAKDOWN_PCT_OTHER_FOREIGN">"c3097"</definedName>
    <definedName name="IQ_PENSION_BREAKDOWN_PCT_RE">"c3095"</definedName>
    <definedName name="IQ_PENSION_BREAKDOWN_PCT_RE_DOM">"c3093"</definedName>
    <definedName name="IQ_PENSION_BREAKDOWN_PCT_RE_FOREIGN">"c3094"</definedName>
    <definedName name="IQ_PENSION_BREAKDOWN_RE">"c3107"</definedName>
    <definedName name="IQ_PENSION_BREAKDOWN_RE_DOM">"c3105"</definedName>
    <definedName name="IQ_PENSION_BREAKDOWN_RE_FOREIGN">"c3106"</definedName>
    <definedName name="IQ_PENSION_CI_ACT">"c5723"</definedName>
    <definedName name="IQ_PENSION_CI_ACT_DOM">"c5721"</definedName>
    <definedName name="IQ_PENSION_CI_ACT_FOREIGN">"c5722"</definedName>
    <definedName name="IQ_PENSION_CI_NET_AMT_RECOG">"c5735"</definedName>
    <definedName name="IQ_PENSION_CI_NET_AMT_RECOG_DOM">"c5733"</definedName>
    <definedName name="IQ_PENSION_CI_NET_AMT_RECOG_FOREIGN">"c5734"</definedName>
    <definedName name="IQ_PENSION_CI_OTHER_MISC_ADJ">"c5732"</definedName>
    <definedName name="IQ_PENSION_CI_OTHER_MISC_ADJ_DOM">"c5730"</definedName>
    <definedName name="IQ_PENSION_CI_OTHER_MISC_ADJ_FOREIGN">"c5731"</definedName>
    <definedName name="IQ_PENSION_CI_PRIOR_SERVICE">"c5726"</definedName>
    <definedName name="IQ_PENSION_CI_PRIOR_SERVICE_DOM">"c5724"</definedName>
    <definedName name="IQ_PENSION_CI_PRIOR_SERVICE_FOREIGN">"c5725"</definedName>
    <definedName name="IQ_PENSION_CI_TRANSITION">"c5729"</definedName>
    <definedName name="IQ_PENSION_CI_TRANSITION_DOM">"c5727"</definedName>
    <definedName name="IQ_PENSION_CI_TRANSITION_FOREIGN">"c5728"</definedName>
    <definedName name="IQ_PENSION_CL">"c5753"</definedName>
    <definedName name="IQ_PENSION_CL_DOM">"c5751"</definedName>
    <definedName name="IQ_PENSION_CL_FOREIGN">"c5752"</definedName>
    <definedName name="IQ_PENSION_CONTRIBUTION_TOTAL_COST">"c3559"</definedName>
    <definedName name="IQ_PENSION_DISC_RATE_MAX">"c3236"</definedName>
    <definedName name="IQ_PENSION_DISC_RATE_MAX_DOM">"c3234"</definedName>
    <definedName name="IQ_PENSION_DISC_RATE_MAX_FOREIGN">"c3235"</definedName>
    <definedName name="IQ_PENSION_DISC_RATE_MIN">"c3233"</definedName>
    <definedName name="IQ_PENSION_DISC_RATE_MIN_DOM">"c3231"</definedName>
    <definedName name="IQ_PENSION_DISC_RATE_MIN_FOREIGN">"c3232"</definedName>
    <definedName name="IQ_PENSION_DISCOUNT_RATE_DOMESTIC">"c3573"</definedName>
    <definedName name="IQ_PENSION_DISCOUNT_RATE_FOREIGN">"c3574"</definedName>
    <definedName name="IQ_PENSION_EST_BENEFIT_1YR">"c3113"</definedName>
    <definedName name="IQ_PENSION_EST_BENEFIT_1YR_DOM">"c3111"</definedName>
    <definedName name="IQ_PENSION_EST_BENEFIT_1YR_FOREIGN">"c3112"</definedName>
    <definedName name="IQ_PENSION_EST_BENEFIT_2YR">"c3116"</definedName>
    <definedName name="IQ_PENSION_EST_BENEFIT_2YR_DOM">"c3114"</definedName>
    <definedName name="IQ_PENSION_EST_BENEFIT_2YR_FOREIGN">"c3115"</definedName>
    <definedName name="IQ_PENSION_EST_BENEFIT_3YR">"c3119"</definedName>
    <definedName name="IQ_PENSION_EST_BENEFIT_3YR_DOM">"c3117"</definedName>
    <definedName name="IQ_PENSION_EST_BENEFIT_3YR_FOREIGN">"c3118"</definedName>
    <definedName name="IQ_PENSION_EST_BENEFIT_4YR">"c3122"</definedName>
    <definedName name="IQ_PENSION_EST_BENEFIT_4YR_DOM">"c3120"</definedName>
    <definedName name="IQ_PENSION_EST_BENEFIT_4YR_FOREIGN">"c3121"</definedName>
    <definedName name="IQ_PENSION_EST_BENEFIT_5YR">"c3125"</definedName>
    <definedName name="IQ_PENSION_EST_BENEFIT_5YR_DOM">"c3123"</definedName>
    <definedName name="IQ_PENSION_EST_BENEFIT_5YR_FOREIGN">"c3124"</definedName>
    <definedName name="IQ_PENSION_EST_BENEFIT_AFTER5">"c3128"</definedName>
    <definedName name="IQ_PENSION_EST_BENEFIT_AFTER5_DOM">"c3126"</definedName>
    <definedName name="IQ_PENSION_EST_BENEFIT_AFTER5_FOREIGN">"c3127"</definedName>
    <definedName name="IQ_PENSION_EST_CONTRIBUTIONS_NEXTYR">"c3218"</definedName>
    <definedName name="IQ_PENSION_EST_CONTRIBUTIONS_NEXTYR_DOM">"c3216"</definedName>
    <definedName name="IQ_PENSION_EST_CONTRIBUTIONS_NEXTYR_FOREIGN">"c3217"</definedName>
    <definedName name="IQ_PENSION_EXP_RATE_RETURN_MAX">"c3248"</definedName>
    <definedName name="IQ_PENSION_EXP_RATE_RETURN_MAX_DOM">"c3246"</definedName>
    <definedName name="IQ_PENSION_EXP_RATE_RETURN_MAX_FOREIGN">"c3247"</definedName>
    <definedName name="IQ_PENSION_EXP_RATE_RETURN_MIN">"c3245"</definedName>
    <definedName name="IQ_PENSION_EXP_RATE_RETURN_MIN_DOM">"c3243"</definedName>
    <definedName name="IQ_PENSION_EXP_RATE_RETURN_MIN_FOREIGN">"c3244"</definedName>
    <definedName name="IQ_PENSION_EXP_RETURN_DOMESTIC">"c3571"</definedName>
    <definedName name="IQ_PENSION_EXP_RETURN_FOREIGN">"c3572"</definedName>
    <definedName name="IQ_PENSION_INTAN_ASSETS">"c3137"</definedName>
    <definedName name="IQ_PENSION_INTAN_ASSETS_DOM">"c3135"</definedName>
    <definedName name="IQ_PENSION_INTAN_ASSETS_FOREIGN">"c3136"</definedName>
    <definedName name="IQ_PENSION_INTEREST_COST">"c3582"</definedName>
    <definedName name="IQ_PENSION_INTEREST_COST_DOM">"c3580"</definedName>
    <definedName name="IQ_PENSION_INTEREST_COST_FOREIGN">"c3581"</definedName>
    <definedName name="IQ_PENSION_LT_ASSETS">"c5750"</definedName>
    <definedName name="IQ_PENSION_LT_ASSETS_DOM">"c5748"</definedName>
    <definedName name="IQ_PENSION_LT_ASSETS_FOREIGN">"c5749"</definedName>
    <definedName name="IQ_PENSION_LT_LIAB">"c5756"</definedName>
    <definedName name="IQ_PENSION_LT_LIAB_DOM">"c5754"</definedName>
    <definedName name="IQ_PENSION_LT_LIAB_FOREIGN">"c5755"</definedName>
    <definedName name="IQ_PENSION_NET_ASSET_RECOG">"c3152"</definedName>
    <definedName name="IQ_PENSION_NET_ASSET_RECOG_DOM">"c3150"</definedName>
    <definedName name="IQ_PENSION_NET_ASSET_RECOG_FOREIGN">"c3151"</definedName>
    <definedName name="IQ_PENSION_OBLIGATION_ACQ">"c3206"</definedName>
    <definedName name="IQ_PENSION_OBLIGATION_ACQ_DOM">"c3204"</definedName>
    <definedName name="IQ_PENSION_OBLIGATION_ACQ_FOREIGN">"c3205"</definedName>
    <definedName name="IQ_PENSION_OBLIGATION_ACTUARIAL_GAIN_LOSS">"c3197"</definedName>
    <definedName name="IQ_PENSION_OBLIGATION_ACTUARIAL_GAIN_LOSS_DOM">"c3195"</definedName>
    <definedName name="IQ_PENSION_OBLIGATION_ACTUARIAL_GAIN_LOSS_FOREIGN">"c3196"</definedName>
    <definedName name="IQ_PENSION_OBLIGATION_BEG">"c3185"</definedName>
    <definedName name="IQ_PENSION_OBLIGATION_BEG_DOM">"c3183"</definedName>
    <definedName name="IQ_PENSION_OBLIGATION_BEG_FOREIGN">"c3184"</definedName>
    <definedName name="IQ_PENSION_OBLIGATION_CURTAIL">"c3209"</definedName>
    <definedName name="IQ_PENSION_OBLIGATION_CURTAIL_DOM">"c3207"</definedName>
    <definedName name="IQ_PENSION_OBLIGATION_CURTAIL_FOREIGN">"c3208"</definedName>
    <definedName name="IQ_PENSION_OBLIGATION_EMPLOYEE_CONTRIBUTIONS">"c3194"</definedName>
    <definedName name="IQ_PENSION_OBLIGATION_EMPLOYEE_CONTRIBUTIONS_DOM">"c3192"</definedName>
    <definedName name="IQ_PENSION_OBLIGATION_EMPLOYEE_CONTRIBUTIONS_FOREIGN">"c3193"</definedName>
    <definedName name="IQ_PENSION_OBLIGATION_FX_ADJ">"c3203"</definedName>
    <definedName name="IQ_PENSION_OBLIGATION_FX_ADJ_DOM">"c3201"</definedName>
    <definedName name="IQ_PENSION_OBLIGATION_FX_ADJ_FOREIGN">"c3202"</definedName>
    <definedName name="IQ_PENSION_OBLIGATION_INTEREST_COST">"c3191"</definedName>
    <definedName name="IQ_PENSION_OBLIGATION_INTEREST_COST_DOM">"c3189"</definedName>
    <definedName name="IQ_PENSION_OBLIGATION_INTEREST_COST_FOREIGN">"c3190"</definedName>
    <definedName name="IQ_PENSION_OBLIGATION_OTHER_COST">"c3555"</definedName>
    <definedName name="IQ_PENSION_OBLIGATION_OTHER_COST_DOM">"c3553"</definedName>
    <definedName name="IQ_PENSION_OBLIGATION_OTHER_COST_FOREIGN">"c3554"</definedName>
    <definedName name="IQ_PENSION_OBLIGATION_OTHER_PLAN_ADJ">"c3212"</definedName>
    <definedName name="IQ_PENSION_OBLIGATION_OTHER_PLAN_ADJ_DOM">"c3210"</definedName>
    <definedName name="IQ_PENSION_OBLIGATION_OTHER_PLAN_ADJ_FOREIGN">"c3211"</definedName>
    <definedName name="IQ_PENSION_OBLIGATION_PAID">"c3200"</definedName>
    <definedName name="IQ_PENSION_OBLIGATION_PAID_DOM">"c3198"</definedName>
    <definedName name="IQ_PENSION_OBLIGATION_PAID_FOREIGN">"c3199"</definedName>
    <definedName name="IQ_PENSION_OBLIGATION_PROJECTED">"c3215"</definedName>
    <definedName name="IQ_PENSION_OBLIGATION_PROJECTED_DOM">"c3213"</definedName>
    <definedName name="IQ_PENSION_OBLIGATION_PROJECTED_FOREIGN">"c3214"</definedName>
    <definedName name="IQ_PENSION_OBLIGATION_ROA">"c3552"</definedName>
    <definedName name="IQ_PENSION_OBLIGATION_ROA_DOM">"c3550"</definedName>
    <definedName name="IQ_PENSION_OBLIGATION_ROA_FOREIGN">"c3551"</definedName>
    <definedName name="IQ_PENSION_OBLIGATION_SERVICE_COST">"c3188"</definedName>
    <definedName name="IQ_PENSION_OBLIGATION_SERVICE_COST_DOM">"c3186"</definedName>
    <definedName name="IQ_PENSION_OBLIGATION_SERVICE_COST_FOREIGN">"c3187"</definedName>
    <definedName name="IQ_PENSION_OBLIGATION_TOTAL_COST">"c3558"</definedName>
    <definedName name="IQ_PENSION_OBLIGATION_TOTAL_COST_DOM">"c3556"</definedName>
    <definedName name="IQ_PENSION_OBLIGATION_TOTAL_COST_FOREIGN">"c3557"</definedName>
    <definedName name="IQ_PENSION_OTHER">"c3143"</definedName>
    <definedName name="IQ_PENSION_OTHER_ADJ">"c3149"</definedName>
    <definedName name="IQ_PENSION_OTHER_ADJ_DOM">"c3147"</definedName>
    <definedName name="IQ_PENSION_OTHER_ADJ_FOREIGN">"c3148"</definedName>
    <definedName name="IQ_PENSION_OTHER_DOM">"c3141"</definedName>
    <definedName name="IQ_PENSION_OTHER_FOREIGN">"c3142"</definedName>
    <definedName name="IQ_PENSION_PBO_ASSUMED_RATE_RET_MAX">"c3254"</definedName>
    <definedName name="IQ_PENSION_PBO_ASSUMED_RATE_RET_MAX_DOM">"c3252"</definedName>
    <definedName name="IQ_PENSION_PBO_ASSUMED_RATE_RET_MAX_FOREIGN">"c3253"</definedName>
    <definedName name="IQ_PENSION_PBO_ASSUMED_RATE_RET_MIN">"c3251"</definedName>
    <definedName name="IQ_PENSION_PBO_ASSUMED_RATE_RET_MIN_DOM">"c3249"</definedName>
    <definedName name="IQ_PENSION_PBO_ASSUMED_RATE_RET_MIN_FOREIGN">"c3250"</definedName>
    <definedName name="IQ_PENSION_PBO_RATE_COMP_INCREASE_MAX">"c3260"</definedName>
    <definedName name="IQ_PENSION_PBO_RATE_COMP_INCREASE_MAX_DOM">"c3258"</definedName>
    <definedName name="IQ_PENSION_PBO_RATE_COMP_INCREASE_MAX_FOREIGN">"c3259"</definedName>
    <definedName name="IQ_PENSION_PBO_RATE_COMP_INCREASE_MIN">"c3257"</definedName>
    <definedName name="IQ_PENSION_PBO_RATE_COMP_INCREASE_MIN_DOM">"c3255"</definedName>
    <definedName name="IQ_PENSION_PBO_RATE_COMP_INCREASE_MIN_FOREIGN">"c3256"</definedName>
    <definedName name="IQ_PENSION_PREPAID_COST">"c3131"</definedName>
    <definedName name="IQ_PENSION_PREPAID_COST_DOM">"c3129"</definedName>
    <definedName name="IQ_PENSION_PREPAID_COST_FOREIGN">"c3130"</definedName>
    <definedName name="IQ_PENSION_PRIOR_SERVICE_NEXT">"c5741"</definedName>
    <definedName name="IQ_PENSION_PRIOR_SERVICE_NEXT_DOM">"c5739"</definedName>
    <definedName name="IQ_PENSION_PRIOR_SERVICE_NEXT_FOREIGN">"c5740"</definedName>
    <definedName name="IQ_PENSION_PROJECTED_OBLIGATION">"c3566"</definedName>
    <definedName name="IQ_PENSION_PROJECTED_OBLIGATION_DOMESTIC">"c3564"</definedName>
    <definedName name="IQ_PENSION_PROJECTED_OBLIGATION_FOREIGN">"c3565"</definedName>
    <definedName name="IQ_PENSION_QUART_ADDL_CONTRIBUTIONS_EXP">"c3224"</definedName>
    <definedName name="IQ_PENSION_QUART_ADDL_CONTRIBUTIONS_EXP_DOM">"c3222"</definedName>
    <definedName name="IQ_PENSION_QUART_ADDL_CONTRIBUTIONS_EXP_FOREIGN">"c3223"</definedName>
    <definedName name="IQ_PENSION_QUART_EMPLOYER_CONTRIBUTIONS">"c3221"</definedName>
    <definedName name="IQ_PENSION_QUART_EMPLOYER_CONTRIBUTIONS_DOM">"c3219"</definedName>
    <definedName name="IQ_PENSION_QUART_EMPLOYER_CONTRIBUTIONS_FOREIGN">"c3220"</definedName>
    <definedName name="IQ_PENSION_RATE_COMP_GROWTH_DOMESTIC">"c3575"</definedName>
    <definedName name="IQ_PENSION_RATE_COMP_GROWTH_FOREIGN">"c3576"</definedName>
    <definedName name="IQ_PENSION_RATE_COMP_INCREASE_MAX">"c3242"</definedName>
    <definedName name="IQ_PENSION_RATE_COMP_INCREASE_MAX_DOM">"c3240"</definedName>
    <definedName name="IQ_PENSION_RATE_COMP_INCREASE_MAX_FOREIGN">"c3241"</definedName>
    <definedName name="IQ_PENSION_RATE_COMP_INCREASE_MIN">"c3239"</definedName>
    <definedName name="IQ_PENSION_RATE_COMP_INCREASE_MIN_DOM">"c3237"</definedName>
    <definedName name="IQ_PENSION_RATE_COMP_INCREASE_MIN_FOREIGN">"c3238"</definedName>
    <definedName name="IQ_PENSION_SERVICE_COST">"c3579"</definedName>
    <definedName name="IQ_PENSION_SERVICE_COST_DOM">"c3577"</definedName>
    <definedName name="IQ_PENSION_SERVICE_COST_FOREIGN">"c3578"</definedName>
    <definedName name="IQ_PENSION_TOTAL_ASSETS">"c3563"</definedName>
    <definedName name="IQ_PENSION_TOTAL_ASSETS_DOMESTIC">"c3561"</definedName>
    <definedName name="IQ_PENSION_TOTAL_ASSETS_FOREIGN">"c3562"</definedName>
    <definedName name="IQ_PENSION_TOTAL_EXP">"c3560"</definedName>
    <definedName name="IQ_PENSION_TRANSITION_NEXT">"c5744"</definedName>
    <definedName name="IQ_PENSION_TRANSITION_NEXT_DOM">"c5742"</definedName>
    <definedName name="IQ_PENSION_TRANSITION_NEXT_FOREIGN">"c5743"</definedName>
    <definedName name="IQ_PENSION_UNFUNDED_ADDL_MIN_LIAB">"c3227"</definedName>
    <definedName name="IQ_PENSION_UNFUNDED_ADDL_MIN_LIAB_DOM">"c3225"</definedName>
    <definedName name="IQ_PENSION_UNFUNDED_ADDL_MIN_LIAB_FOREIGN">"c3226"</definedName>
    <definedName name="IQ_PENSION_UNRECOG_PRIOR">"c3146"</definedName>
    <definedName name="IQ_PENSION_UNRECOG_PRIOR_DOM">"c3144"</definedName>
    <definedName name="IQ_PENSION_UNRECOG_PRIOR_FOREIGN">"c3145"</definedName>
    <definedName name="IQ_PENSION_UV_LIAB">"c3567"</definedName>
    <definedName name="IQ_PERCENT_CHANGE_EST_5YR_GROWTH_RATE_12MONTHS">"c1852"</definedName>
    <definedName name="IQ_PERCENT_CHANGE_EST_5YR_GROWTH_RATE_12MONTHS_REUT">"c3959"</definedName>
    <definedName name="IQ_PERCENT_CHANGE_EST_5YR_GROWTH_RATE_18MONTHS">"c1853"</definedName>
    <definedName name="IQ_PERCENT_CHANGE_EST_5YR_GROWTH_RATE_18MONTHS_REUT">"c3960"</definedName>
    <definedName name="IQ_PERCENT_CHANGE_EST_5YR_GROWTH_RATE_3MONTHS">"c1849"</definedName>
    <definedName name="IQ_PERCENT_CHANGE_EST_5YR_GROWTH_RATE_3MONTHS_REUT">"c3956"</definedName>
    <definedName name="IQ_PERCENT_CHANGE_EST_5YR_GROWTH_RATE_6MONTHS">"c1850"</definedName>
    <definedName name="IQ_PERCENT_CHANGE_EST_5YR_GROWTH_RATE_6MONTHS_REUT">"c3957"</definedName>
    <definedName name="IQ_PERCENT_CHANGE_EST_5YR_GROWTH_RATE_9MONTHS">"c1851"</definedName>
    <definedName name="IQ_PERCENT_CHANGE_EST_5YR_GROWTH_RATE_9MONTHS_REUT">"c3958"</definedName>
    <definedName name="IQ_PERCENT_CHANGE_EST_5YR_GROWTH_RATE_DAY">"c1846"</definedName>
    <definedName name="IQ_PERCENT_CHANGE_EST_5YR_GROWTH_RATE_DAY_REUT">"c3954"</definedName>
    <definedName name="IQ_PERCENT_CHANGE_EST_5YR_GROWTH_RATE_MONTH">"c1848"</definedName>
    <definedName name="IQ_PERCENT_CHANGE_EST_5YR_GROWTH_RATE_MONTH_REUT">"c3955"</definedName>
    <definedName name="IQ_PERCENT_CHANGE_EST_5YR_GROWTH_RATE_WEEK">"c1847"</definedName>
    <definedName name="IQ_PERCENT_CHANGE_EST_5YR_GROWTH_RATE_WEEK_REUT">"c5435"</definedName>
    <definedName name="IQ_PERCENT_CHANGE_EST_CFPS_12MONTHS">"c1812"</definedName>
    <definedName name="IQ_PERCENT_CHANGE_EST_CFPS_12MONTHS_REUT">"c3924"</definedName>
    <definedName name="IQ_PERCENT_CHANGE_EST_CFPS_18MONTHS">"c1813"</definedName>
    <definedName name="IQ_PERCENT_CHANGE_EST_CFPS_18MONTHS_REUT">"c3925"</definedName>
    <definedName name="IQ_PERCENT_CHANGE_EST_CFPS_3MONTHS">"c1809"</definedName>
    <definedName name="IQ_PERCENT_CHANGE_EST_CFPS_3MONTHS_REUT">"c3921"</definedName>
    <definedName name="IQ_PERCENT_CHANGE_EST_CFPS_6MONTHS">"c1810"</definedName>
    <definedName name="IQ_PERCENT_CHANGE_EST_CFPS_6MONTHS_REUT">"c3922"</definedName>
    <definedName name="IQ_PERCENT_CHANGE_EST_CFPS_9MONTHS">"c1811"</definedName>
    <definedName name="IQ_PERCENT_CHANGE_EST_CFPS_9MONTHS_REUT">"c3923"</definedName>
    <definedName name="IQ_PERCENT_CHANGE_EST_CFPS_DAY">"c1806"</definedName>
    <definedName name="IQ_PERCENT_CHANGE_EST_CFPS_DAY_REUT">"c3919"</definedName>
    <definedName name="IQ_PERCENT_CHANGE_EST_CFPS_MONTH">"c1808"</definedName>
    <definedName name="IQ_PERCENT_CHANGE_EST_CFPS_MONTH_REUT">"c3920"</definedName>
    <definedName name="IQ_PERCENT_CHANGE_EST_CFPS_WEEK">"c1807"</definedName>
    <definedName name="IQ_PERCENT_CHANGE_EST_CFPS_WEEK_REUT">"c3962"</definedName>
    <definedName name="IQ_PERCENT_CHANGE_EST_DPS_12MONTHS">"c1820"</definedName>
    <definedName name="IQ_PERCENT_CHANGE_EST_DPS_12MONTHS_REUT">"c3931"</definedName>
    <definedName name="IQ_PERCENT_CHANGE_EST_DPS_18MONTHS">"c1821"</definedName>
    <definedName name="IQ_PERCENT_CHANGE_EST_DPS_18MONTHS_REUT">"c3932"</definedName>
    <definedName name="IQ_PERCENT_CHANGE_EST_DPS_3MONTHS">"c1817"</definedName>
    <definedName name="IQ_PERCENT_CHANGE_EST_DPS_3MONTHS_REUT">"c3928"</definedName>
    <definedName name="IQ_PERCENT_CHANGE_EST_DPS_6MONTHS">"c1818"</definedName>
    <definedName name="IQ_PERCENT_CHANGE_EST_DPS_6MONTHS_REUT">"c3929"</definedName>
    <definedName name="IQ_PERCENT_CHANGE_EST_DPS_9MONTHS">"c1819"</definedName>
    <definedName name="IQ_PERCENT_CHANGE_EST_DPS_9MONTHS_REUT">"c3930"</definedName>
    <definedName name="IQ_PERCENT_CHANGE_EST_DPS_DAY">"c1814"</definedName>
    <definedName name="IQ_PERCENT_CHANGE_EST_DPS_DAY_REUT">"c3926"</definedName>
    <definedName name="IQ_PERCENT_CHANGE_EST_DPS_MONTH">"c1816"</definedName>
    <definedName name="IQ_PERCENT_CHANGE_EST_DPS_MONTH_REUT">"c3927"</definedName>
    <definedName name="IQ_PERCENT_CHANGE_EST_DPS_WEEK">"c1815"</definedName>
    <definedName name="IQ_PERCENT_CHANGE_EST_DPS_WEEK_REUT">"c3963"</definedName>
    <definedName name="IQ_PERCENT_CHANGE_EST_EBITDA_12MONTHS">"c1804"</definedName>
    <definedName name="IQ_PERCENT_CHANGE_EST_EBITDA_12MONTHS_REUT">"c3917"</definedName>
    <definedName name="IQ_PERCENT_CHANGE_EST_EBITDA_18MONTHS">"c1805"</definedName>
    <definedName name="IQ_PERCENT_CHANGE_EST_EBITDA_18MONTHS_REUT">"c3918"</definedName>
    <definedName name="IQ_PERCENT_CHANGE_EST_EBITDA_3MONTHS">"c1801"</definedName>
    <definedName name="IQ_PERCENT_CHANGE_EST_EBITDA_3MONTHS_REUT">"c3914"</definedName>
    <definedName name="IQ_PERCENT_CHANGE_EST_EBITDA_6MONTHS">"c1802"</definedName>
    <definedName name="IQ_PERCENT_CHANGE_EST_EBITDA_6MONTHS_REUT">"c3915"</definedName>
    <definedName name="IQ_PERCENT_CHANGE_EST_EBITDA_9MONTHS">"c1803"</definedName>
    <definedName name="IQ_PERCENT_CHANGE_EST_EBITDA_9MONTHS_REUT">"c3916"</definedName>
    <definedName name="IQ_PERCENT_CHANGE_EST_EBITDA_DAY">"c1798"</definedName>
    <definedName name="IQ_PERCENT_CHANGE_EST_EBITDA_DAY_REUT">"c3912"</definedName>
    <definedName name="IQ_PERCENT_CHANGE_EST_EBITDA_MONTH">"c1800"</definedName>
    <definedName name="IQ_PERCENT_CHANGE_EST_EBITDA_MONTH_REUT">"c3913"</definedName>
    <definedName name="IQ_PERCENT_CHANGE_EST_EBITDA_WEEK">"c1799"</definedName>
    <definedName name="IQ_PERCENT_CHANGE_EST_EBITDA_WEEK_REUT">"c3961"</definedName>
    <definedName name="IQ_PERCENT_CHANGE_EST_EPS_12MONTHS">"c1788"</definedName>
    <definedName name="IQ_PERCENT_CHANGE_EST_EPS_12MONTHS_REUT">"c3902"</definedName>
    <definedName name="IQ_PERCENT_CHANGE_EST_EPS_18MONTHS">"c1789"</definedName>
    <definedName name="IQ_PERCENT_CHANGE_EST_EPS_18MONTHS_REUT">"c3903"</definedName>
    <definedName name="IQ_PERCENT_CHANGE_EST_EPS_3MONTHS">"c1785"</definedName>
    <definedName name="IQ_PERCENT_CHANGE_EST_EPS_3MONTHS_REUT">"c3899"</definedName>
    <definedName name="IQ_PERCENT_CHANGE_EST_EPS_6MONTHS">"c1786"</definedName>
    <definedName name="IQ_PERCENT_CHANGE_EST_EPS_6MONTHS_REUT">"c3900"</definedName>
    <definedName name="IQ_PERCENT_CHANGE_EST_EPS_9MONTHS">"c1787"</definedName>
    <definedName name="IQ_PERCENT_CHANGE_EST_EPS_9MONTHS_REUT">"c3901"</definedName>
    <definedName name="IQ_PERCENT_CHANGE_EST_EPS_DAY">"c1782"</definedName>
    <definedName name="IQ_PERCENT_CHANGE_EST_EPS_DAY_REUT">"c3896"</definedName>
    <definedName name="IQ_PERCENT_CHANGE_EST_EPS_MONTH">"c1784"</definedName>
    <definedName name="IQ_PERCENT_CHANGE_EST_EPS_MONTH_REUT">"c3898"</definedName>
    <definedName name="IQ_PERCENT_CHANGE_EST_EPS_WEEK">"c1783"</definedName>
    <definedName name="IQ_PERCENT_CHANGE_EST_EPS_WEEK_REUT">"c3897"</definedName>
    <definedName name="IQ_PERCENT_CHANGE_EST_FFO_12MONTHS">"c1828"</definedName>
    <definedName name="IQ_PERCENT_CHANGE_EST_FFO_12MONTHS_REUT">"c3938"</definedName>
    <definedName name="IQ_PERCENT_CHANGE_EST_FFO_18MONTHS">"c1829"</definedName>
    <definedName name="IQ_PERCENT_CHANGE_EST_FFO_18MONTHS_REUT">"c3939"</definedName>
    <definedName name="IQ_PERCENT_CHANGE_EST_FFO_3MONTHS">"c1825"</definedName>
    <definedName name="IQ_PERCENT_CHANGE_EST_FFO_3MONTHS_REUT">"c3935"</definedName>
    <definedName name="IQ_PERCENT_CHANGE_EST_FFO_6MONTHS">"c1826"</definedName>
    <definedName name="IQ_PERCENT_CHANGE_EST_FFO_6MONTHS_REUT">"c3936"</definedName>
    <definedName name="IQ_PERCENT_CHANGE_EST_FFO_9MONTHS">"c1827"</definedName>
    <definedName name="IQ_PERCENT_CHANGE_EST_FFO_9MONTHS_REUT">"c3937"</definedName>
    <definedName name="IQ_PERCENT_CHANGE_EST_FFO_DAY">"c1822"</definedName>
    <definedName name="IQ_PERCENT_CHANGE_EST_FFO_DAY_REUT">"c3933"</definedName>
    <definedName name="IQ_PERCENT_CHANGE_EST_FFO_MONTH">"c1824"</definedName>
    <definedName name="IQ_PERCENT_CHANGE_EST_FFO_MONTH_REUT">"c3934"</definedName>
    <definedName name="IQ_PERCENT_CHANGE_EST_FFO_WEEK">"c1823"</definedName>
    <definedName name="IQ_PERCENT_CHANGE_EST_FFO_WEEK_REUT">"c3964"</definedName>
    <definedName name="IQ_PERCENT_CHANGE_EST_PRICE_TARGET_12MONTHS">"c1844"</definedName>
    <definedName name="IQ_PERCENT_CHANGE_EST_PRICE_TARGET_12MONTHS_REUT">"c3952"</definedName>
    <definedName name="IQ_PERCENT_CHANGE_EST_PRICE_TARGET_18MONTHS">"c1845"</definedName>
    <definedName name="IQ_PERCENT_CHANGE_EST_PRICE_TARGET_18MONTHS_REUT">"c3953"</definedName>
    <definedName name="IQ_PERCENT_CHANGE_EST_PRICE_TARGET_3MONTHS">"c1841"</definedName>
    <definedName name="IQ_PERCENT_CHANGE_EST_PRICE_TARGET_3MONTHS_REUT">"c3949"</definedName>
    <definedName name="IQ_PERCENT_CHANGE_EST_PRICE_TARGET_6MONTHS">"c1842"</definedName>
    <definedName name="IQ_PERCENT_CHANGE_EST_PRICE_TARGET_6MONTHS_REUT">"c3950"</definedName>
    <definedName name="IQ_PERCENT_CHANGE_EST_PRICE_TARGET_9MONTHS">"c1843"</definedName>
    <definedName name="IQ_PERCENT_CHANGE_EST_PRICE_TARGET_9MONTHS_REUT">"c3951"</definedName>
    <definedName name="IQ_PERCENT_CHANGE_EST_PRICE_TARGET_DAY">"c1838"</definedName>
    <definedName name="IQ_PERCENT_CHANGE_EST_PRICE_TARGET_DAY_REUT">"c3947"</definedName>
    <definedName name="IQ_PERCENT_CHANGE_EST_PRICE_TARGET_MONTH">"c1840"</definedName>
    <definedName name="IQ_PERCENT_CHANGE_EST_PRICE_TARGET_MONTH_REUT">"c3948"</definedName>
    <definedName name="IQ_PERCENT_CHANGE_EST_PRICE_TARGET_WEEK">"c1839"</definedName>
    <definedName name="IQ_PERCENT_CHANGE_EST_PRICE_TARGET_WEEK_REUT">"c3967"</definedName>
    <definedName name="IQ_PERCENT_CHANGE_EST_RECO_12MONTHS">"c1836"</definedName>
    <definedName name="IQ_PERCENT_CHANGE_EST_RECO_12MONTHS_REUT">"c3945"</definedName>
    <definedName name="IQ_PERCENT_CHANGE_EST_RECO_18MONTHS">"c1837"</definedName>
    <definedName name="IQ_PERCENT_CHANGE_EST_RECO_18MONTHS_REUT">"c3946"</definedName>
    <definedName name="IQ_PERCENT_CHANGE_EST_RECO_3MONTHS">"c1833"</definedName>
    <definedName name="IQ_PERCENT_CHANGE_EST_RECO_3MONTHS_REUT">"c3942"</definedName>
    <definedName name="IQ_PERCENT_CHANGE_EST_RECO_6MONTHS">"c1834"</definedName>
    <definedName name="IQ_PERCENT_CHANGE_EST_RECO_6MONTHS_REUT">"c3943"</definedName>
    <definedName name="IQ_PERCENT_CHANGE_EST_RECO_9MONTHS">"c1835"</definedName>
    <definedName name="IQ_PERCENT_CHANGE_EST_RECO_9MONTHS_REUT">"c3944"</definedName>
    <definedName name="IQ_PERCENT_CHANGE_EST_RECO_DAY">"c1830"</definedName>
    <definedName name="IQ_PERCENT_CHANGE_EST_RECO_DAY_REUT">"c3940"</definedName>
    <definedName name="IQ_PERCENT_CHANGE_EST_RECO_MONTH">"c1832"</definedName>
    <definedName name="IQ_PERCENT_CHANGE_EST_RECO_MONTH_REUT">"c3941"</definedName>
    <definedName name="IQ_PERCENT_CHANGE_EST_RECO_WEEK">"c1831"</definedName>
    <definedName name="IQ_PERCENT_CHANGE_EST_RECO_WEEK_REUT">"c3966"</definedName>
    <definedName name="IQ_PERCENT_CHANGE_EST_REV_12MONTHS">"c1796"</definedName>
    <definedName name="IQ_PERCENT_CHANGE_EST_REV_12MONTHS_REUT">"c3910"</definedName>
    <definedName name="IQ_PERCENT_CHANGE_EST_REV_18MONTHS">"c1797"</definedName>
    <definedName name="IQ_PERCENT_CHANGE_EST_REV_18MONTHS_REUT">"c3911"</definedName>
    <definedName name="IQ_PERCENT_CHANGE_EST_REV_3MONTHS">"c1793"</definedName>
    <definedName name="IQ_PERCENT_CHANGE_EST_REV_3MONTHS_REUT">"c3907"</definedName>
    <definedName name="IQ_PERCENT_CHANGE_EST_REV_6MONTHS">"c1794"</definedName>
    <definedName name="IQ_PERCENT_CHANGE_EST_REV_6MONTHS_REUT">"c3908"</definedName>
    <definedName name="IQ_PERCENT_CHANGE_EST_REV_9MONTHS">"c1795"</definedName>
    <definedName name="IQ_PERCENT_CHANGE_EST_REV_9MONTHS_REUT">"c3909"</definedName>
    <definedName name="IQ_PERCENT_CHANGE_EST_REV_DAY">"c1790"</definedName>
    <definedName name="IQ_PERCENT_CHANGE_EST_REV_DAY_REUT">"c3904"</definedName>
    <definedName name="IQ_PERCENT_CHANGE_EST_REV_MONTH">"c1792"</definedName>
    <definedName name="IQ_PERCENT_CHANGE_EST_REV_MONTH_REUT">"c3906"</definedName>
    <definedName name="IQ_PERCENT_CHANGE_EST_REV_WEEK">"c1791"</definedName>
    <definedName name="IQ_PERCENT_CHANGE_EST_REV_WEEK_REUT">"c3905"</definedName>
    <definedName name="IQ_PERIODDATE">"c1414"</definedName>
    <definedName name="IQ_PERIODDATE_BS">"c1032"</definedName>
    <definedName name="IQ_PERIODDATE_CF">"c1033"</definedName>
    <definedName name="IQ_PERIODDATE_IS">"c1034"</definedName>
    <definedName name="IQ_PERIODLENGTH_CF">"c1502"</definedName>
    <definedName name="IQ_PERIODLENGTH_IS">"c1503"</definedName>
    <definedName name="IQ_PERTYPE">"c1611"</definedName>
    <definedName name="IQ_PLL">"c2114"</definedName>
    <definedName name="IQ_PMT_FREQ">"c2236"</definedName>
    <definedName name="IQ_POISON_PUT_EFFECT_DATE">"c2486"</definedName>
    <definedName name="IQ_POISON_PUT_EXPIRATION_DATE">"c2487"</definedName>
    <definedName name="IQ_POISON_PUT_PRICE">"c2488"</definedName>
    <definedName name="IQ_POLICY_BENEFITS">"c1036"</definedName>
    <definedName name="IQ_POLICY_COST">"c1037"</definedName>
    <definedName name="IQ_POLICY_LIAB">"c1612"</definedName>
    <definedName name="IQ_POLICY_LOANS">"c1038"</definedName>
    <definedName name="IQ_POST_RETIRE_EXP">"c1039"</definedName>
    <definedName name="IQ_POSTPAID_CHURN">"c2121"</definedName>
    <definedName name="IQ_POSTPAID_SUBS">"c2118"</definedName>
    <definedName name="IQ_POTENTIAL_UPSIDE">"c1855"</definedName>
    <definedName name="IQ_POTENTIAL_UPSIDE_REUT">"c3968"</definedName>
    <definedName name="IQ_PRE_OPEN_COST">"c1040"</definedName>
    <definedName name="IQ_PRE_TAX_ACT_OR_EST">"c2221"</definedName>
    <definedName name="IQ_PRE_TAX_ACT_OR_EST_REUT">"c5467"</definedName>
    <definedName name="IQ_PREF_CONVERT">"c1041"</definedName>
    <definedName name="IQ_PREF_DIV_CF">"c1042"</definedName>
    <definedName name="IQ_PREF_DIV_OTHER">"c1043"</definedName>
    <definedName name="IQ_PREF_DIVID">"c1461"</definedName>
    <definedName name="IQ_PREF_EQUITY">"c1044"</definedName>
    <definedName name="IQ_PREF_ISSUED">"c1045"</definedName>
    <definedName name="IQ_PREF_ISSUED_BNK">"c1046"</definedName>
    <definedName name="IQ_PREF_ISSUED_BR">"c1047"</definedName>
    <definedName name="IQ_PREF_ISSUED_FIN">"c1048"</definedName>
    <definedName name="IQ_PREF_ISSUED_INS">"c1049"</definedName>
    <definedName name="IQ_PREF_ISSUED_RE">"c6261"</definedName>
    <definedName name="IQ_PREF_ISSUED_REIT">"c1050"</definedName>
    <definedName name="IQ_PREF_ISSUED_UTI">"c1051"</definedName>
    <definedName name="IQ_PREF_NON_REDEEM">"c1052"</definedName>
    <definedName name="IQ_PREF_OTHER">"c1053"</definedName>
    <definedName name="IQ_PREF_OTHER_BNK">"c1054"</definedName>
    <definedName name="IQ_PREF_OTHER_BR">"c1055"</definedName>
    <definedName name="IQ_PREF_OTHER_FIN">"c1056"</definedName>
    <definedName name="IQ_PREF_OTHER_INS">"c1057"</definedName>
    <definedName name="IQ_PREF_OTHER_RE">"c6262"</definedName>
    <definedName name="IQ_PREF_OTHER_REIT">"c1058"</definedName>
    <definedName name="IQ_PREF_OTHER_UTI">"C6022"</definedName>
    <definedName name="IQ_PREF_REDEEM">"c1059"</definedName>
    <definedName name="IQ_PREF_REP">"c1060"</definedName>
    <definedName name="IQ_PREF_REP_BNK">"c1061"</definedName>
    <definedName name="IQ_PREF_REP_BR">"c1062"</definedName>
    <definedName name="IQ_PREF_REP_FIN">"c1063"</definedName>
    <definedName name="IQ_PREF_REP_INS">"c1064"</definedName>
    <definedName name="IQ_PREF_REP_RE">"c6263"</definedName>
    <definedName name="IQ_PREF_REP_REIT">"c1065"</definedName>
    <definedName name="IQ_PREF_REP_UTI">"c1066"</definedName>
    <definedName name="IQ_PREF_STOCK">"c1416"</definedName>
    <definedName name="IQ_PREF_TOT">"c1415"</definedName>
    <definedName name="IQ_PREMIUMS_ANNUITY_REV">"c1067"</definedName>
    <definedName name="IQ_PREPAID_CHURN">"c2120"</definedName>
    <definedName name="IQ_PREPAID_EXP">"c1068"</definedName>
    <definedName name="IQ_PREPAID_EXPEN">"c1418"</definedName>
    <definedName name="IQ_PREPAID_SUBS">"c2117"</definedName>
    <definedName name="IQ_PRETAX_GW_INC_EST">"c1702"</definedName>
    <definedName name="IQ_PRETAX_GW_INC_EST_REUT">"c5354"</definedName>
    <definedName name="IQ_PRETAX_GW_INC_HIGH_EST">"c1704"</definedName>
    <definedName name="IQ_PRETAX_GW_INC_HIGH_EST_REUT">"c5356"</definedName>
    <definedName name="IQ_PRETAX_GW_INC_LOW_EST">"c1705"</definedName>
    <definedName name="IQ_PRETAX_GW_INC_LOW_EST_REUT">"c5357"</definedName>
    <definedName name="IQ_PRETAX_GW_INC_MEDIAN_EST">"c1703"</definedName>
    <definedName name="IQ_PRETAX_GW_INC_MEDIAN_EST_REUT">"c5355"</definedName>
    <definedName name="IQ_PRETAX_GW_INC_NUM_EST">"c1706"</definedName>
    <definedName name="IQ_PRETAX_GW_INC_NUM_EST_REUT">"c5358"</definedName>
    <definedName name="IQ_PRETAX_GW_INC_STDDEV_EST">"c1707"</definedName>
    <definedName name="IQ_PRETAX_GW_INC_STDDEV_EST_REUT">"c5359"</definedName>
    <definedName name="IQ_PRETAX_INC_EST">"c1695"</definedName>
    <definedName name="IQ_PRETAX_INC_EST_REUT">"c5347"</definedName>
    <definedName name="IQ_PRETAX_INC_HIGH_EST">"c1697"</definedName>
    <definedName name="IQ_PRETAX_INC_HIGH_EST_REUT">"c5349"</definedName>
    <definedName name="IQ_PRETAX_INC_LOW_EST">"c1698"</definedName>
    <definedName name="IQ_PRETAX_INC_LOW_EST_REUT">"c5350"</definedName>
    <definedName name="IQ_PRETAX_INC_MEDIAN_EST">"c1696"</definedName>
    <definedName name="IQ_PRETAX_INC_MEDIAN_EST_REUT">"c5348"</definedName>
    <definedName name="IQ_PRETAX_INC_NUM_EST">"c1699"</definedName>
    <definedName name="IQ_PRETAX_INC_NUM_EST_REUT">"c5351"</definedName>
    <definedName name="IQ_PRETAX_INC_STDDEV_EST">"c1700"</definedName>
    <definedName name="IQ_PRETAX_INC_STDDEV_EST_REUT">"c5352"</definedName>
    <definedName name="IQ_PRETAX_REPORT_INC_EST">"c1709"</definedName>
    <definedName name="IQ_PRETAX_REPORT_INC_EST_REUT">"c5361"</definedName>
    <definedName name="IQ_PRETAX_REPORT_INC_HIGH_EST">"c1711"</definedName>
    <definedName name="IQ_PRETAX_REPORT_INC_HIGH_EST_REUT">"c5363"</definedName>
    <definedName name="IQ_PRETAX_REPORT_INC_LOW_EST">"c1712"</definedName>
    <definedName name="IQ_PRETAX_REPORT_INC_LOW_EST_REUT">"c5364"</definedName>
    <definedName name="IQ_PRETAX_REPORT_INC_MEDIAN_EST">"c1710"</definedName>
    <definedName name="IQ_PRETAX_REPORT_INC_MEDIAN_EST_REUT">"c5362"</definedName>
    <definedName name="IQ_PRETAX_REPORT_INC_NUM_EST">"c1713"</definedName>
    <definedName name="IQ_PRETAX_REPORT_INC_NUM_EST_REUT">"c5365"</definedName>
    <definedName name="IQ_PRETAX_REPORT_INC_STDDEV_EST">"c1714"</definedName>
    <definedName name="IQ_PRETAX_REPORT_INC_STDDEV_EST_REUT">"c5366"</definedName>
    <definedName name="IQ_PRICE_CFPS_FWD">"c2237"</definedName>
    <definedName name="IQ_PRICE_CFPS_FWD_REUT">"c4053"</definedName>
    <definedName name="IQ_PRICE_OVER_BVPS">"c1412"</definedName>
    <definedName name="IQ_PRICE_OVER_LTM_EPS">"c1413"</definedName>
    <definedName name="IQ_PRICE_TARGET">"c82"</definedName>
    <definedName name="IQ_PRICE_TARGET_BOTTOM_UP">"c5486"</definedName>
    <definedName name="IQ_PRICE_TARGET_BOTTOM_UP_REUT">"c5494"</definedName>
    <definedName name="IQ_PRICE_TARGET_REUT">"c3631"</definedName>
    <definedName name="IQ_PRICE_VOLATILITY_EST">"c4492"</definedName>
    <definedName name="IQ_PRICE_VOLATILITY_HIGH">"c4493"</definedName>
    <definedName name="IQ_PRICE_VOLATILITY_LOW">"c4494"</definedName>
    <definedName name="IQ_PRICE_VOLATILITY_MEDIAN">"c4495"</definedName>
    <definedName name="IQ_PRICE_VOLATILITY_NUM">"c4496"</definedName>
    <definedName name="IQ_PRICE_VOLATILITY_STDDEV">"c4497"</definedName>
    <definedName name="IQ_PRICEDATE">"c1069"</definedName>
    <definedName name="IQ_PRICING_DATE">"c1613"</definedName>
    <definedName name="IQ_PRIMARY_EPS_TYPE">"c4498"</definedName>
    <definedName name="IQ_PRIMARY_EPS_TYPE_REUT">"c5481"</definedName>
    <definedName name="IQ_PRIMARY_INDUSTRY">"c1070"</definedName>
    <definedName name="IQ_PRINCIPAL_AMT">"c2157"</definedName>
    <definedName name="IQ_PRO_FORMA_BASIC_EPS">"c1614"</definedName>
    <definedName name="IQ_PRO_FORMA_DILUT_EPS">"c1615"</definedName>
    <definedName name="IQ_PRO_FORMA_NET_INC">"c1452"</definedName>
    <definedName name="IQ_PROFESSIONAL">"c1071"</definedName>
    <definedName name="IQ_PROFESSIONAL_TITLE">"c1072"</definedName>
    <definedName name="IQ_PROJECTED_PENSION_OBLIGATION">"c1292"</definedName>
    <definedName name="IQ_PROJECTED_PENSION_OBLIGATION_DOMESTIC">"c2656"</definedName>
    <definedName name="IQ_PROJECTED_PENSION_OBLIGATION_FOREIGN">"c2664"</definedName>
    <definedName name="IQ_PROPERTY_EXP">"c1073"</definedName>
    <definedName name="IQ_PROPERTY_GROSS">"c1379"</definedName>
    <definedName name="IQ_PROPERTY_MGMT_FEE">"c1074"</definedName>
    <definedName name="IQ_PROPERTY_NET">"c1402"</definedName>
    <definedName name="IQ_PROV_BAD_DEBTS">"c1075"</definedName>
    <definedName name="IQ_PROV_BAD_DEBTS_CF">"c1076"</definedName>
    <definedName name="IQ_PROVISION_10YR_ANN_CAGR">"c6135"</definedName>
    <definedName name="IQ_PROVISION_10YR_ANN_GROWTH">"c1077"</definedName>
    <definedName name="IQ_PROVISION_1YR_ANN_GROWTH">"c1078"</definedName>
    <definedName name="IQ_PROVISION_2YR_ANN_CAGR">"c6136"</definedName>
    <definedName name="IQ_PROVISION_2YR_ANN_GROWTH">"c1079"</definedName>
    <definedName name="IQ_PROVISION_3YR_ANN_CAGR">"c6137"</definedName>
    <definedName name="IQ_PROVISION_3YR_ANN_GROWTH">"c1080"</definedName>
    <definedName name="IQ_PROVISION_5YR_ANN_CAGR">"c6138"</definedName>
    <definedName name="IQ_PROVISION_5YR_ANN_GROWTH">"c1081"</definedName>
    <definedName name="IQ_PROVISION_7YR_ANN_CAGR">"c6139"</definedName>
    <definedName name="IQ_PROVISION_7YR_ANN_GROWTH">"c1082"</definedName>
    <definedName name="IQ_PROVISION_CHARGE_OFFS">"c1083"</definedName>
    <definedName name="IQ_PTBV">"c1084"</definedName>
    <definedName name="IQ_PTBV_AVG">"c1085"</definedName>
    <definedName name="IQ_PUT_DATE_SCHEDULE">"c2483"</definedName>
    <definedName name="IQ_PUT_NOTIFICATION">"c2485"</definedName>
    <definedName name="IQ_PUT_PRICE_SCHEDULE">"c2484"</definedName>
    <definedName name="IQ_QTD">750000</definedName>
    <definedName name="IQ_QUICK_RATIO">"c1086"</definedName>
    <definedName name="IQ_RATE_COMP_GROWTH_DOMESTIC">"c1087"</definedName>
    <definedName name="IQ_RATE_COMP_GROWTH_FOREIGN">"c1088"</definedName>
    <definedName name="IQ_RAW_INV">"c1089"</definedName>
    <definedName name="IQ_RC">"c2497"</definedName>
    <definedName name="IQ_RC_PCT">"c2498"</definedName>
    <definedName name="IQ_RD_EXP">"c1090"</definedName>
    <definedName name="IQ_RD_EXP_FN">"c1091"</definedName>
    <definedName name="IQ_RE">"c1092"</definedName>
    <definedName name="IQ_REAL_ESTATE">"c1093"</definedName>
    <definedName name="IQ_REAL_ESTATE_ASSETS">"c1094"</definedName>
    <definedName name="IQ_RECURRING_PROFIT_ACT_OR_EST">"c4507"</definedName>
    <definedName name="IQ_RECURRING_PROFIT_EST">"c4499"</definedName>
    <definedName name="IQ_RECURRING_PROFIT_GUIDANCE">"c4500"</definedName>
    <definedName name="IQ_RECURRING_PROFIT_HIGH_EST">"c4501"</definedName>
    <definedName name="IQ_RECURRING_PROFIT_HIGH_GUIDANCE">"c4179"</definedName>
    <definedName name="IQ_RECURRING_PROFIT_LOW_EST">"c4502"</definedName>
    <definedName name="IQ_RECURRING_PROFIT_LOW_GUIDANCE">"c4219"</definedName>
    <definedName name="IQ_RECURRING_PROFIT_MEDIAN_EST">"c4503"</definedName>
    <definedName name="IQ_RECURRING_PROFIT_NUM_EST">"c4504"</definedName>
    <definedName name="IQ_RECURRING_PROFIT_SHARE_ACT_OR_EST">"c4508"</definedName>
    <definedName name="IQ_RECURRING_PROFIT_SHARE_EST">"c4506"</definedName>
    <definedName name="IQ_RECURRING_PROFIT_SHARE_GUIDANCE">"c4509"</definedName>
    <definedName name="IQ_RECURRING_PROFIT_SHARE_HIGH_EST">"c4510"</definedName>
    <definedName name="IQ_RECURRING_PROFIT_SHARE_HIGH_GUIDANCE">"c4200"</definedName>
    <definedName name="IQ_RECURRING_PROFIT_SHARE_LOW_EST">"c4511"</definedName>
    <definedName name="IQ_RECURRING_PROFIT_SHARE_LOW_GUIDANCE">"c4240"</definedName>
    <definedName name="IQ_RECURRING_PROFIT_SHARE_MEDIAN_EST">"c4512"</definedName>
    <definedName name="IQ_RECURRING_PROFIT_SHARE_NUM_EST">"c4513"</definedName>
    <definedName name="IQ_RECURRING_PROFIT_SHARE_STDDEV_EST">"c4514"</definedName>
    <definedName name="IQ_RECURRING_PROFIT_STDDEV_EST">"c4516"</definedName>
    <definedName name="IQ_REDEEM_PREF_STOCK">"c1417"</definedName>
    <definedName name="IQ_REF_ENTITY">"c6033"</definedName>
    <definedName name="IQ_REF_ENTITY_CIQID">"c6024"</definedName>
    <definedName name="IQ_REF_ENTITY_TICKER">"c6023"</definedName>
    <definedName name="IQ_REG_ASSETS">"c1095"</definedName>
    <definedName name="IQ_REINSUR_PAY">"c1096"</definedName>
    <definedName name="IQ_REINSUR_PAY_CF">"c1097"</definedName>
    <definedName name="IQ_REINSUR_RECOVER">"c1098"</definedName>
    <definedName name="IQ_REINSUR_RECOVER_CF">"c1099"</definedName>
    <definedName name="IQ_REINSURANCE">"c1100"</definedName>
    <definedName name="IQ_RENTAL_REV">"c1101"</definedName>
    <definedName name="IQ_RESEARCH_DEV">"c1419"</definedName>
    <definedName name="IQ_RESIDENTIAL_LOANS">"c1102"</definedName>
    <definedName name="IQ_RESTATEMENT_BS">"c1643"</definedName>
    <definedName name="IQ_RESTATEMENT_CF">"c1644"</definedName>
    <definedName name="IQ_RESTATEMENT_IS">"c1642"</definedName>
    <definedName name="IQ_RESTR_STOCK_COMP">"c3506"</definedName>
    <definedName name="IQ_RESTR_STOCK_COMP_PRETAX">"c3504"</definedName>
    <definedName name="IQ_RESTR_STOCK_COMP_TAX">"c3505"</definedName>
    <definedName name="IQ_RESTRICTED_CASH">"c1103"</definedName>
    <definedName name="IQ_RESTRICTED_CASH_NON_CURRENT">"c6192"</definedName>
    <definedName name="IQ_RESTRICTED_CASH_TOTAL">"c6193"</definedName>
    <definedName name="IQ_RESTRUCTURE">"c1104"</definedName>
    <definedName name="IQ_RESTRUCTURE_BNK">"c1105"</definedName>
    <definedName name="IQ_RESTRUCTURE_BR">"c1106"</definedName>
    <definedName name="IQ_RESTRUCTURE_CF">"c1107"</definedName>
    <definedName name="IQ_RESTRUCTURE_FIN">"c1108"</definedName>
    <definedName name="IQ_RESTRUCTURE_INS">"c1109"</definedName>
    <definedName name="IQ_RESTRUCTURE_RE">"c6264"</definedName>
    <definedName name="IQ_RESTRUCTURE_REIT">"c1110"</definedName>
    <definedName name="IQ_RESTRUCTURE_UTI">"c1111"</definedName>
    <definedName name="IQ_RESTRUCTURED_LOANS">"c1112"</definedName>
    <definedName name="IQ_RETAIL_ACQUIRED_FRANCHISE_STORES">"c2895"</definedName>
    <definedName name="IQ_RETAIL_ACQUIRED_OWNED_STORES">"c2903"</definedName>
    <definedName name="IQ_RETAIL_ACQUIRED_STORES">"c2887"</definedName>
    <definedName name="IQ_RETAIL_AVG_STORE_SIZE_GROSS">"c2066"</definedName>
    <definedName name="IQ_RETAIL_AVG_STORE_SIZE_NET">"c2067"</definedName>
    <definedName name="IQ_RETAIL_AVG_WK_SALES">"c2891"</definedName>
    <definedName name="IQ_RETAIL_AVG_WK_SALES_FRANCHISE">"c2899"</definedName>
    <definedName name="IQ_RETAIL_AVG_WK_SALES_OWNED">"c2907"</definedName>
    <definedName name="IQ_RETAIL_CLOSED_FRANCHISE_STORES">"c2896"</definedName>
    <definedName name="IQ_RETAIL_CLOSED_OWNED_STORES">"c2904"</definedName>
    <definedName name="IQ_RETAIL_CLOSED_STORES">"c2063"</definedName>
    <definedName name="IQ_RETAIL_FRANCHISE_STORES_BEG">"c2893"</definedName>
    <definedName name="IQ_RETAIL_OPENED_FRANCHISE_STORES">"c2894"</definedName>
    <definedName name="IQ_RETAIL_OPENED_OWNED_STORES">"c2902"</definedName>
    <definedName name="IQ_RETAIL_OPENED_STORES">"c2062"</definedName>
    <definedName name="IQ_RETAIL_OWNED_STORES_BEG">"c2901"</definedName>
    <definedName name="IQ_RETAIL_SALES_SQFT_ALL_GROSS">"c2138"</definedName>
    <definedName name="IQ_RETAIL_SALES_SQFT_ALL_NET">"c2139"</definedName>
    <definedName name="IQ_RETAIL_SALES_SQFT_COMPARABLE_GROSS">"c2136"</definedName>
    <definedName name="IQ_RETAIL_SALES_SQFT_COMPARABLE_NET">"c2137"</definedName>
    <definedName name="IQ_RETAIL_SALES_SQFT_OWNED_GROSS">"c2134"</definedName>
    <definedName name="IQ_RETAIL_SALES_SQFT_OWNED_NET">"c2135"</definedName>
    <definedName name="IQ_RETAIL_SOLD_FRANCHISE_STORES">"c2897"</definedName>
    <definedName name="IQ_RETAIL_SOLD_OWNED_STORES">"c2905"</definedName>
    <definedName name="IQ_RETAIL_SOLD_STORES">"c2889"</definedName>
    <definedName name="IQ_RETAIL_SQ_FOOTAGE">"c2064"</definedName>
    <definedName name="IQ_RETAIL_STORE_SELLING_AREA">"c2065"</definedName>
    <definedName name="IQ_RETAIL_STORES_BEG">"c2885"</definedName>
    <definedName name="IQ_RETAIL_TOTAL_FRANCHISE_STORES">"c2898"</definedName>
    <definedName name="IQ_RETAIL_TOTAL_OWNED_STORES">"c2906"</definedName>
    <definedName name="IQ_RETAIL_TOTAL_STORES">"c2061"</definedName>
    <definedName name="IQ_RETAINED_EARN">"c1420"</definedName>
    <definedName name="IQ_RETURN_ASSETS">"c1113"</definedName>
    <definedName name="IQ_RETURN_ASSETS_ACT_OR_EST">"c3585"</definedName>
    <definedName name="IQ_RETURN_ASSETS_ACT_OR_EST_REUT">"c5475"</definedName>
    <definedName name="IQ_RETURN_ASSETS_BANK">"c1114"</definedName>
    <definedName name="IQ_RETURN_ASSETS_BROK">"c1115"</definedName>
    <definedName name="IQ_RETURN_ASSETS_EST">"c3529"</definedName>
    <definedName name="IQ_RETURN_ASSETS_EST_REUT">"c3990"</definedName>
    <definedName name="IQ_RETURN_ASSETS_FS">"c1116"</definedName>
    <definedName name="IQ_RETURN_ASSETS_GUIDANCE">"c4517"</definedName>
    <definedName name="IQ_RETURN_ASSETS_HIGH_EST">"c3530"</definedName>
    <definedName name="IQ_RETURN_ASSETS_HIGH_EST_REUT">"c3992"</definedName>
    <definedName name="IQ_RETURN_ASSETS_HIGH_GUIDANCE">"c4183"</definedName>
    <definedName name="IQ_RETURN_ASSETS_LOW_EST">"c3531"</definedName>
    <definedName name="IQ_RETURN_ASSETS_LOW_EST_REUT">"c3993"</definedName>
    <definedName name="IQ_RETURN_ASSETS_LOW_GUIDANCE">"c4223"</definedName>
    <definedName name="IQ_RETURN_ASSETS_MEDIAN_EST">"c3532"</definedName>
    <definedName name="IQ_RETURN_ASSETS_MEDIAN_EST_REUT">"c3991"</definedName>
    <definedName name="IQ_RETURN_ASSETS_NUM_EST">"c3527"</definedName>
    <definedName name="IQ_RETURN_ASSETS_NUM_EST_REUT">"c3994"</definedName>
    <definedName name="IQ_RETURN_ASSETS_STDDEV_EST">"c3528"</definedName>
    <definedName name="IQ_RETURN_ASSETS_STDDEV_EST_REUT">"c3995"</definedName>
    <definedName name="IQ_RETURN_CAPITAL">"c1117"</definedName>
    <definedName name="IQ_RETURN_EQUITY">"c1118"</definedName>
    <definedName name="IQ_RETURN_EQUITY_ACT_OR_EST">"c3586"</definedName>
    <definedName name="IQ_RETURN_EQUITY_ACT_OR_EST_REUT">"c5476"</definedName>
    <definedName name="IQ_RETURN_EQUITY_BANK">"c1119"</definedName>
    <definedName name="IQ_RETURN_EQUITY_BROK">"c1120"</definedName>
    <definedName name="IQ_RETURN_EQUITY_EST">"c3535"</definedName>
    <definedName name="IQ_RETURN_EQUITY_EST_REUT">"c3983"</definedName>
    <definedName name="IQ_RETURN_EQUITY_FS">"c1121"</definedName>
    <definedName name="IQ_RETURN_EQUITY_GUIDANCE">"c4518"</definedName>
    <definedName name="IQ_RETURN_EQUITY_HIGH_EST">"c3536"</definedName>
    <definedName name="IQ_RETURN_EQUITY_HIGH_EST_REUT">"c3985"</definedName>
    <definedName name="IQ_RETURN_EQUITY_HIGH_GUIDANCE">"c4182"</definedName>
    <definedName name="IQ_RETURN_EQUITY_LOW_EST">"c3537"</definedName>
    <definedName name="IQ_RETURN_EQUITY_LOW_EST_REUT">"c3986"</definedName>
    <definedName name="IQ_RETURN_EQUITY_LOW_GUIDANCE">"c4222"</definedName>
    <definedName name="IQ_RETURN_EQUITY_MEDIAN_EST">"c3538"</definedName>
    <definedName name="IQ_RETURN_EQUITY_MEDIAN_EST_REUT">"c3984"</definedName>
    <definedName name="IQ_RETURN_EQUITY_NUM_EST">"c3533"</definedName>
    <definedName name="IQ_RETURN_EQUITY_NUM_EST_REUT">"c3987"</definedName>
    <definedName name="IQ_RETURN_EQUITY_STDDEV_EST">"c3534"</definedName>
    <definedName name="IQ_RETURN_EQUITY_STDDEV_EST_REUT">"c3988"</definedName>
    <definedName name="IQ_RETURN_INVESTMENT">"c1421"</definedName>
    <definedName name="IQ_REV">"c1122"</definedName>
    <definedName name="IQ_REV_BEFORE_LL">"c1123"</definedName>
    <definedName name="IQ_REV_STDDEV_EST">"c1124"</definedName>
    <definedName name="IQ_REV_STDDEV_EST_REUT">"c3639"</definedName>
    <definedName name="IQ_REV_UTI">"c1125"</definedName>
    <definedName name="IQ_REVENUE">"c1422"</definedName>
    <definedName name="IQ_REVENUE_ACT_OR_EST">"c2214"</definedName>
    <definedName name="IQ_REVENUE_ACT_OR_EST_REUT">"c5461"</definedName>
    <definedName name="IQ_REVENUE_EST">"c1126"</definedName>
    <definedName name="IQ_REVENUE_EST_BOTTOM_UP">"c5488"</definedName>
    <definedName name="IQ_REVENUE_EST_BOTTOM_UP_REUT">"c5496"</definedName>
    <definedName name="IQ_REVENUE_EST_REUT">"c3634"</definedName>
    <definedName name="IQ_REVENUE_GUIDANCE">"c4519"</definedName>
    <definedName name="IQ_REVENUE_HIGH_EST">"c1127"</definedName>
    <definedName name="IQ_REVENUE_HIGH_EST_REUT">"c3636"</definedName>
    <definedName name="IQ_REVENUE_HIGH_GUIDANCE">"c4169"</definedName>
    <definedName name="IQ_REVENUE_LOW_EST">"c1128"</definedName>
    <definedName name="IQ_REVENUE_LOW_EST_REUT">"c3637"</definedName>
    <definedName name="IQ_REVENUE_LOW_GUIDANCE">"c4209"</definedName>
    <definedName name="IQ_REVENUE_MEDIAN_EST">"c1662"</definedName>
    <definedName name="IQ_REVENUE_MEDIAN_EST_REUT">"c3635"</definedName>
    <definedName name="IQ_REVENUE_NUM_EST">"c1129"</definedName>
    <definedName name="IQ_REVENUE_NUM_EST_REUT">"c3638"</definedName>
    <definedName name="IQ_REVISION_DATE_">39620.6696064815</definedName>
    <definedName name="IQ_RISK_ADJ_BANK_ASSETS">"c2670"</definedName>
    <definedName name="IQ_SALARY">"c1130"</definedName>
    <definedName name="IQ_SALE_INTAN_CF">"c1131"</definedName>
    <definedName name="IQ_SALE_INTAN_CF_BNK">"c1132"</definedName>
    <definedName name="IQ_SALE_INTAN_CF_BR">"c1133"</definedName>
    <definedName name="IQ_SALE_INTAN_CF_FIN">"c1134"</definedName>
    <definedName name="IQ_SALE_INTAN_CF_INS">"c1135"</definedName>
    <definedName name="IQ_SALE_INTAN_CF_RE">"c6284"</definedName>
    <definedName name="IQ_SALE_INTAN_CF_REIT">"c1627"</definedName>
    <definedName name="IQ_SALE_INTAN_CF_UTI">"c1136"</definedName>
    <definedName name="IQ_SALE_PPE_CF">"c1137"</definedName>
    <definedName name="IQ_SALE_PPE_CF_BNK">"c1138"</definedName>
    <definedName name="IQ_SALE_PPE_CF_BR">"c1139"</definedName>
    <definedName name="IQ_SALE_PPE_CF_FIN">"c1140"</definedName>
    <definedName name="IQ_SALE_PPE_CF_INS">"c1141"</definedName>
    <definedName name="IQ_SALE_PPE_CF_UTI">"c1142"</definedName>
    <definedName name="IQ_SALE_RE_ASSETS">"c1629"</definedName>
    <definedName name="IQ_SALE_REAL_ESTATE_CF">"c1143"</definedName>
    <definedName name="IQ_SALE_REAL_ESTATE_CF_BNK">"c1144"</definedName>
    <definedName name="IQ_SALE_REAL_ESTATE_CF_BR">"c1145"</definedName>
    <definedName name="IQ_SALE_REAL_ESTATE_CF_FIN">"c1146"</definedName>
    <definedName name="IQ_SALE_REAL_ESTATE_CF_INS">"c1147"</definedName>
    <definedName name="IQ_SALE_REAL_ESTATE_CF_UTI">"c1148"</definedName>
    <definedName name="IQ_SALES_MARKETING">"c2240"</definedName>
    <definedName name="IQ_SAME_STORE">"c1149"</definedName>
    <definedName name="IQ_SAME_STORE_FRANCHISE">"c2900"</definedName>
    <definedName name="IQ_SAME_STORE_OWNED">"c2908"</definedName>
    <definedName name="IQ_SAME_STORE_TOTAL">"c2892"</definedName>
    <definedName name="IQ_SAVING_DEP">"c1150"</definedName>
    <definedName name="IQ_SEC_PURCHASED_RESELL">"c5513"</definedName>
    <definedName name="IQ_SECUR_RECEIV">"c1151"</definedName>
    <definedName name="IQ_SECURED_DEBT">"c2546"</definedName>
    <definedName name="IQ_SECURED_DEBT_PCT">"c2547"</definedName>
    <definedName name="IQ_SECURITY_BORROW">"c1152"</definedName>
    <definedName name="IQ_SECURITY_LEVEL">"c2159"</definedName>
    <definedName name="IQ_SECURITY_NOTES">"c2202"</definedName>
    <definedName name="IQ_SECURITY_OWN">"c1153"</definedName>
    <definedName name="IQ_SECURITY_RESELL">"c1154"</definedName>
    <definedName name="IQ_SECURITY_TYPE">"c2158"</definedName>
    <definedName name="IQ_SEPARATE_ACCT_ASSETS">"c1155"</definedName>
    <definedName name="IQ_SEPARATE_ACCT_LIAB">"c1156"</definedName>
    <definedName name="IQ_SERV_CHARGE_DEPOSITS">"c1157"</definedName>
    <definedName name="IQ_SGA">"c1158"</definedName>
    <definedName name="IQ_SGA_BNK">"c1159"</definedName>
    <definedName name="IQ_SGA_INS">"c1160"</definedName>
    <definedName name="IQ_SGA_MARGIN">"c1898"</definedName>
    <definedName name="IQ_SGA_RE">"c6265"</definedName>
    <definedName name="IQ_SGA_REIT">"c1161"</definedName>
    <definedName name="IQ_SGA_SUPPL">"c1162"</definedName>
    <definedName name="IQ_SGA_UTI">"c1163"</definedName>
    <definedName name="IQ_SHAREOUTSTANDING">"c1347"</definedName>
    <definedName name="IQ_SHARES_PURCHASED_AVERAGE_PRICE">"c5821"</definedName>
    <definedName name="IQ_SHARES_PURCHASED_QUARTER">"c5820"</definedName>
    <definedName name="IQ_SHARESOUTSTANDING">"c1164"</definedName>
    <definedName name="IQ_SHORT_INTEREST">"c1165"</definedName>
    <definedName name="IQ_SHORT_INTEREST_OVER_FLOAT">"c1577"</definedName>
    <definedName name="IQ_SHORT_INTEREST_PERCENT">"c1576"</definedName>
    <definedName name="IQ_SHORT_TERM_INVEST">"c1425"</definedName>
    <definedName name="IQ_SMALL_INT_BEAR_CD">"c1166"</definedName>
    <definedName name="IQ_SOFTWARE">"c1167"</definedName>
    <definedName name="IQ_SOURCE">"c1168"</definedName>
    <definedName name="IQ_SPECIAL_DIV_CF">"c1169"</definedName>
    <definedName name="IQ_SPECIAL_DIV_CF_BNK">"c1170"</definedName>
    <definedName name="IQ_SPECIAL_DIV_CF_BR">"c1171"</definedName>
    <definedName name="IQ_SPECIAL_DIV_CF_FIN">"c1172"</definedName>
    <definedName name="IQ_SPECIAL_DIV_CF_INS">"c1173"</definedName>
    <definedName name="IQ_SPECIAL_DIV_CF_RE">"c6266"</definedName>
    <definedName name="IQ_SPECIAL_DIV_CF_REIT">"c1174"</definedName>
    <definedName name="IQ_SPECIAL_DIV_CF_UTI">"c1175"</definedName>
    <definedName name="IQ_SPECIAL_DIV_SHARE">"c3007"</definedName>
    <definedName name="IQ_SR_BONDS_NOTES">"c2501"</definedName>
    <definedName name="IQ_SR_BONDS_NOTES_PCT">"c2502"</definedName>
    <definedName name="IQ_SR_DEBT">"c2526"</definedName>
    <definedName name="IQ_SR_DEBT_EBITDA">"c2552"</definedName>
    <definedName name="IQ_SR_DEBT_EBITDA_CAPEX">"c2553"</definedName>
    <definedName name="IQ_SR_DEBT_PCT">"c2527"</definedName>
    <definedName name="IQ_SR_SUB_DEBT">"c2530"</definedName>
    <definedName name="IQ_SR_SUB_DEBT_EBITDA">"c2556"</definedName>
    <definedName name="IQ_SR_SUB_DEBT_EBITDA_CAPEX">"c2557"</definedName>
    <definedName name="IQ_SR_SUB_DEBT_PCT">"c2531"</definedName>
    <definedName name="IQ_ST_DEBT">"c1176"</definedName>
    <definedName name="IQ_ST_DEBT_BNK">"c1177"</definedName>
    <definedName name="IQ_ST_DEBT_BR">"c1178"</definedName>
    <definedName name="IQ_ST_DEBT_FIN">"c1179"</definedName>
    <definedName name="IQ_ST_DEBT_INS">"c1180"</definedName>
    <definedName name="IQ_ST_DEBT_ISSUED">"c1181"</definedName>
    <definedName name="IQ_ST_DEBT_ISSUED_BNK">"c1182"</definedName>
    <definedName name="IQ_ST_DEBT_ISSUED_BR">"c1183"</definedName>
    <definedName name="IQ_ST_DEBT_ISSUED_FIN">"c1184"</definedName>
    <definedName name="IQ_ST_DEBT_ISSUED_INS">"c1185"</definedName>
    <definedName name="IQ_ST_DEBT_ISSUED_RE">"c6267"</definedName>
    <definedName name="IQ_ST_DEBT_ISSUED_REIT">"c1186"</definedName>
    <definedName name="IQ_ST_DEBT_ISSUED_UTI">"c1187"</definedName>
    <definedName name="IQ_ST_DEBT_PCT">"c2539"</definedName>
    <definedName name="IQ_ST_DEBT_RE">"c6268"</definedName>
    <definedName name="IQ_ST_DEBT_REIT">"c1188"</definedName>
    <definedName name="IQ_ST_DEBT_REPAID">"c1189"</definedName>
    <definedName name="IQ_ST_DEBT_REPAID_BNK">"c1190"</definedName>
    <definedName name="IQ_ST_DEBT_REPAID_BR">"c1191"</definedName>
    <definedName name="IQ_ST_DEBT_REPAID_FIN">"c1192"</definedName>
    <definedName name="IQ_ST_DEBT_REPAID_INS">"c1193"</definedName>
    <definedName name="IQ_ST_DEBT_REPAID_RE">"c6269"</definedName>
    <definedName name="IQ_ST_DEBT_REPAID_REIT">"c1194"</definedName>
    <definedName name="IQ_ST_DEBT_REPAID_UTI">"c1195"</definedName>
    <definedName name="IQ_ST_DEBT_UTI">"c1196"</definedName>
    <definedName name="IQ_ST_FHLB_DEBT">"c5658"</definedName>
    <definedName name="IQ_ST_INVEST">"c1197"</definedName>
    <definedName name="IQ_ST_INVEST_UTI">"c1198"</definedName>
    <definedName name="IQ_ST_NOTE_RECEIV">"c1199"</definedName>
    <definedName name="IQ_STATE">"c1200"</definedName>
    <definedName name="IQ_STATUTORY_SURPLUS">"c1201"</definedName>
    <definedName name="IQ_STOCK_BASED">"c1202"</definedName>
    <definedName name="IQ_STOCK_BASED_AT">"c2999"</definedName>
    <definedName name="IQ_STOCK_BASED_CF">"c1203"</definedName>
    <definedName name="IQ_STOCK_BASED_COGS">"c2990"</definedName>
    <definedName name="IQ_STOCK_BASED_COMP">"c3512"</definedName>
    <definedName name="IQ_STOCK_BASED_COMP_PRETAX">"c3510"</definedName>
    <definedName name="IQ_STOCK_BASED_COMP_TAX">"c3511"</definedName>
    <definedName name="IQ_STOCK_BASED_EST">"c4520"</definedName>
    <definedName name="IQ_STOCK_BASED_GA">"c2993"</definedName>
    <definedName name="IQ_STOCK_BASED_HIGH_EST">"c4521"</definedName>
    <definedName name="IQ_STOCK_BASED_LOW_EST">"c4522"</definedName>
    <definedName name="IQ_STOCK_BASED_MEDIAN_EST">"c4523"</definedName>
    <definedName name="IQ_STOCK_BASED_NUM_EST">"c4524"</definedName>
    <definedName name="IQ_STOCK_BASED_OTHER">"c2995"</definedName>
    <definedName name="IQ_STOCK_BASED_RD">"c2991"</definedName>
    <definedName name="IQ_STOCK_BASED_SGA">"c2994"</definedName>
    <definedName name="IQ_STOCK_BASED_SM">"c2992"</definedName>
    <definedName name="IQ_STOCK_BASED_STDDEV_EST">"c4525"</definedName>
    <definedName name="IQ_STOCK_BASED_TOTAL">"c3040"</definedName>
    <definedName name="IQ_STOCK_OPTIONS_COMP">"c3509"</definedName>
    <definedName name="IQ_STOCK_OPTIONS_COMP_PRETAX">"c3507"</definedName>
    <definedName name="IQ_STOCK_OPTIONS_COMP_TAX">"c3508"</definedName>
    <definedName name="IQ_STRIKE_PRICE_ISSUED">"c1645"</definedName>
    <definedName name="IQ_STRIKE_PRICE_OS">"c1646"</definedName>
    <definedName name="IQ_STW">"c2166"</definedName>
    <definedName name="IQ_SUB_BONDS_NOTES">"c2503"</definedName>
    <definedName name="IQ_SUB_BONDS_NOTES_PCT">"c2504"</definedName>
    <definedName name="IQ_SUB_DEBT">"c2532"</definedName>
    <definedName name="IQ_SUB_DEBT_EBITDA">"c2558"</definedName>
    <definedName name="IQ_SUB_DEBT_EBITDA_CAPEX">"c2559"</definedName>
    <definedName name="IQ_SUB_DEBT_PCT">"c2533"</definedName>
    <definedName name="IQ_SUB_LEASE_AFTER_FIVE">"c1207"</definedName>
    <definedName name="IQ_SUB_LEASE_INC_CY">"c1208"</definedName>
    <definedName name="IQ_SUB_LEASE_INC_CY1">"c1209"</definedName>
    <definedName name="IQ_SUB_LEASE_INC_CY2">"c1210"</definedName>
    <definedName name="IQ_SUB_LEASE_INC_CY3">"c1211"</definedName>
    <definedName name="IQ_SUB_LEASE_INC_CY4">"c1212"</definedName>
    <definedName name="IQ_SUB_LEASE_NEXT_FIVE">"c1213"</definedName>
    <definedName name="IQ_SVA">"c1214"</definedName>
    <definedName name="IQ_TARGET_PRICE_NUM">"c1653"</definedName>
    <definedName name="IQ_TARGET_PRICE_NUM_REUT">"c5319"</definedName>
    <definedName name="IQ_TARGET_PRICE_STDDEV">"c1654"</definedName>
    <definedName name="IQ_TARGET_PRICE_STDDEV_REUT">"c5320"</definedName>
    <definedName name="IQ_TAX_BENEFIT_CF_1YR">"c3483"</definedName>
    <definedName name="IQ_TAX_BENEFIT_CF_2YR">"c3484"</definedName>
    <definedName name="IQ_TAX_BENEFIT_CF_3YR">"c3485"</definedName>
    <definedName name="IQ_TAX_BENEFIT_CF_4YR">"c3486"</definedName>
    <definedName name="IQ_TAX_BENEFIT_CF_5YR">"c3487"</definedName>
    <definedName name="IQ_TAX_BENEFIT_CF_AFTER_FIVE">"c3488"</definedName>
    <definedName name="IQ_TAX_BENEFIT_CF_MAX_YEAR">"c3491"</definedName>
    <definedName name="IQ_TAX_BENEFIT_CF_NO_EXP">"c3489"</definedName>
    <definedName name="IQ_TAX_BENEFIT_CF_TOTAL">"c3490"</definedName>
    <definedName name="IQ_TAX_BENEFIT_OPTIONS">"c1215"</definedName>
    <definedName name="IQ_TAX_EQUIV_NET_INT_INC">"c1216"</definedName>
    <definedName name="IQ_TBV">"c1906"</definedName>
    <definedName name="IQ_TBV_10YR_ANN_CAGR">"c6169"</definedName>
    <definedName name="IQ_TBV_10YR_ANN_GROWTH">"c1936"</definedName>
    <definedName name="IQ_TBV_1YR_ANN_GROWTH">"c1931"</definedName>
    <definedName name="IQ_TBV_2YR_ANN_CAGR">"c6165"</definedName>
    <definedName name="IQ_TBV_2YR_ANN_GROWTH">"c1932"</definedName>
    <definedName name="IQ_TBV_3YR_ANN_CAGR">"c6166"</definedName>
    <definedName name="IQ_TBV_3YR_ANN_GROWTH">"c1933"</definedName>
    <definedName name="IQ_TBV_5YR_ANN_CAGR">"c6167"</definedName>
    <definedName name="IQ_TBV_5YR_ANN_GROWTH">"c1934"</definedName>
    <definedName name="IQ_TBV_7YR_ANN_CAGR">"c6168"</definedName>
    <definedName name="IQ_TBV_7YR_ANN_GROWTH">"c1935"</definedName>
    <definedName name="IQ_TBV_SHARE">"c1217"</definedName>
    <definedName name="IQ_TEMPLATE">"c1521"</definedName>
    <definedName name="IQ_TENANT">"c1218"</definedName>
    <definedName name="IQ_TERM_LOANS">"c2499"</definedName>
    <definedName name="IQ_TERM_LOANS_PCT">"c2500"</definedName>
    <definedName name="IQ_TEV">"c1219"</definedName>
    <definedName name="IQ_TEV_EBIT">"c1220"</definedName>
    <definedName name="IQ_TEV_EBIT_AVG">"c1221"</definedName>
    <definedName name="IQ_TEV_EBIT_FWD">"c2238"</definedName>
    <definedName name="IQ_TEV_EBIT_FWD_REUT">"c4054"</definedName>
    <definedName name="IQ_TEV_EBITDA">"c1222"</definedName>
    <definedName name="IQ_TEV_EBITDA_AVG">"c1223"</definedName>
    <definedName name="IQ_TEV_EBITDA_FWD">"c1224"</definedName>
    <definedName name="IQ_TEV_EBITDA_FWD_REUT">"c4050"</definedName>
    <definedName name="IQ_TEV_EMPLOYEE_AVG">"c1225"</definedName>
    <definedName name="IQ_TEV_EST">"c4526"</definedName>
    <definedName name="IQ_TEV_HIGH_EST">"c4527"</definedName>
    <definedName name="IQ_TEV_LOW_EST">"c4528"</definedName>
    <definedName name="IQ_TEV_MEDIAN_EST">"c4529"</definedName>
    <definedName name="IQ_TEV_NUM_EST">"c4530"</definedName>
    <definedName name="IQ_TEV_STDDEV_EST">"c4531"</definedName>
    <definedName name="IQ_TEV_TOTAL_REV">"c1226"</definedName>
    <definedName name="IQ_TEV_TOTAL_REV_AVG">"c1227"</definedName>
    <definedName name="IQ_TEV_TOTAL_REV_FWD">"c1228"</definedName>
    <definedName name="IQ_TEV_TOTAL_REV_FWD_REUT">"c4051"</definedName>
    <definedName name="IQ_TEV_UFCF">"c2208"</definedName>
    <definedName name="IQ_TIER_ONE_CAPITAL">"c2667"</definedName>
    <definedName name="IQ_TIER_ONE_RATIO">"c1229"</definedName>
    <definedName name="IQ_TIER_TWO_CAPITAL">"c2669"</definedName>
    <definedName name="IQ_TIME_DEP">"c1230"</definedName>
    <definedName name="IQ_TODAY">0</definedName>
    <definedName name="IQ_TOT_ADJ_INC">"c1616"</definedName>
    <definedName name="IQ_TOTAL_AR_BR">"c1231"</definedName>
    <definedName name="IQ_TOTAL_AR_RE">"c6270"</definedName>
    <definedName name="IQ_TOTAL_AR_REIT">"c1232"</definedName>
    <definedName name="IQ_TOTAL_AR_UTI">"c1233"</definedName>
    <definedName name="IQ_TOTAL_ASSETS">"c1234"</definedName>
    <definedName name="IQ_TOTAL_ASSETS_10YR_ANN_CAGR">"c6140"</definedName>
    <definedName name="IQ_TOTAL_ASSETS_10YR_ANN_GROWTH">"c1235"</definedName>
    <definedName name="IQ_TOTAL_ASSETS_1YR_ANN_GROWTH">"c1236"</definedName>
    <definedName name="IQ_TOTAL_ASSETS_2YR_ANN_CAGR">"c6141"</definedName>
    <definedName name="IQ_TOTAL_ASSETS_2YR_ANN_GROWTH">"c1237"</definedName>
    <definedName name="IQ_TOTAL_ASSETS_3YR_ANN_CAGR">"c6142"</definedName>
    <definedName name="IQ_TOTAL_ASSETS_3YR_ANN_GROWTH">"c1238"</definedName>
    <definedName name="IQ_TOTAL_ASSETS_5YR_ANN_CAGR">"c6143"</definedName>
    <definedName name="IQ_TOTAL_ASSETS_5YR_ANN_GROWTH">"c1239"</definedName>
    <definedName name="IQ_TOTAL_ASSETS_7YR_ANN_CAGR">"c6144"</definedName>
    <definedName name="IQ_TOTAL_ASSETS_7YR_ANN_GROWTH">"c1240"</definedName>
    <definedName name="IQ_TOTAL_AVG_CE_TOTAL_AVG_ASSETS">"c1241"</definedName>
    <definedName name="IQ_TOTAL_AVG_EQUITY_TOTAL_AVG_ASSETS">"c1242"</definedName>
    <definedName name="IQ_TOTAL_BANK_CAPITAL">"c2668"</definedName>
    <definedName name="IQ_TOTAL_CA">"c1243"</definedName>
    <definedName name="IQ_TOTAL_CAP">"c1507"</definedName>
    <definedName name="IQ_TOTAL_CAPITAL_RATIO">"c1244"</definedName>
    <definedName name="IQ_TOTAL_CASH_DIVID">"c1455"</definedName>
    <definedName name="IQ_TOTAL_CASH_FINAN">"c1352"</definedName>
    <definedName name="IQ_TOTAL_CASH_INVEST">"c1353"</definedName>
    <definedName name="IQ_TOTAL_CASH_OPER">"c1354"</definedName>
    <definedName name="IQ_TOTAL_CHURN">"c2122"</definedName>
    <definedName name="IQ_TOTAL_CL">"c1245"</definedName>
    <definedName name="IQ_TOTAL_COMMON">"c1411"</definedName>
    <definedName name="IQ_TOTAL_COMMON_EQUITY">"c1246"</definedName>
    <definedName name="IQ_TOTAL_CURRENT_ASSETS">"c1430"</definedName>
    <definedName name="IQ_TOTAL_CURRENT_LIAB">"c1431"</definedName>
    <definedName name="IQ_TOTAL_DEBT">"c1247"</definedName>
    <definedName name="IQ_TOTAL_DEBT_CAPITAL">"c1248"</definedName>
    <definedName name="IQ_TOTAL_DEBT_EBITDA">"c1249"</definedName>
    <definedName name="IQ_TOTAL_DEBT_EBITDA_CAPEX">"c2948"</definedName>
    <definedName name="IQ_TOTAL_DEBT_EQUITY">"c1250"</definedName>
    <definedName name="IQ_TOTAL_DEBT_EST">"c4532"</definedName>
    <definedName name="IQ_TOTAL_DEBT_EXCL_FIN">"c2937"</definedName>
    <definedName name="IQ_TOTAL_DEBT_GUIDANCE">"c4533"</definedName>
    <definedName name="IQ_TOTAL_DEBT_HIGH_EST">"c4534"</definedName>
    <definedName name="IQ_TOTAL_DEBT_HIGH_GUIDANCE">"c4196"</definedName>
    <definedName name="IQ_TOTAL_DEBT_ISSUED">"c1251"</definedName>
    <definedName name="IQ_TOTAL_DEBT_ISSUED_BNK">"c1252"</definedName>
    <definedName name="IQ_TOTAL_DEBT_ISSUED_BR">"c1253"</definedName>
    <definedName name="IQ_TOTAL_DEBT_ISSUED_FIN">"c1254"</definedName>
    <definedName name="IQ_TOTAL_DEBT_ISSUED_RE">"c6271"</definedName>
    <definedName name="IQ_TOTAL_DEBT_ISSUED_REIT">"c1255"</definedName>
    <definedName name="IQ_TOTAL_DEBT_ISSUED_UTI">"c1256"</definedName>
    <definedName name="IQ_TOTAL_DEBT_ISSUES_INS">"c1257"</definedName>
    <definedName name="IQ_TOTAL_DEBT_LOW_EST">"c4535"</definedName>
    <definedName name="IQ_TOTAL_DEBT_LOW_GUIDANCE">"c4236"</definedName>
    <definedName name="IQ_TOTAL_DEBT_MEDIAN_EST">"c4536"</definedName>
    <definedName name="IQ_TOTAL_DEBT_NUM_EST">"c4537"</definedName>
    <definedName name="IQ_TOTAL_DEBT_OVER_EBITDA">"c1433"</definedName>
    <definedName name="IQ_TOTAL_DEBT_OVER_TOTAL_BV">"c1434"</definedName>
    <definedName name="IQ_TOTAL_DEBT_OVER_TOTAL_CAP">"c1432"</definedName>
    <definedName name="IQ_TOTAL_DEBT_REPAID">"c1258"</definedName>
    <definedName name="IQ_TOTAL_DEBT_REPAID_BNK">"c1259"</definedName>
    <definedName name="IQ_TOTAL_DEBT_REPAID_BR">"c1260"</definedName>
    <definedName name="IQ_TOTAL_DEBT_REPAID_FIN">"c1261"</definedName>
    <definedName name="IQ_TOTAL_DEBT_REPAID_INS">"c1262"</definedName>
    <definedName name="IQ_TOTAL_DEBT_REPAID_RE">"c6272"</definedName>
    <definedName name="IQ_TOTAL_DEBT_REPAID_REIT">"c1263"</definedName>
    <definedName name="IQ_TOTAL_DEBT_REPAID_UTI">"c1264"</definedName>
    <definedName name="IQ_TOTAL_DEBT_STDDEV_EST">"c4538"</definedName>
    <definedName name="IQ_TOTAL_DEPOSITS">"c1265"</definedName>
    <definedName name="IQ_TOTAL_DIV_PAID_CF">"c1266"</definedName>
    <definedName name="IQ_TOTAL_EMPLOYEE">"c2141"</definedName>
    <definedName name="IQ_TOTAL_EMPLOYEES">"c1522"</definedName>
    <definedName name="IQ_TOTAL_EQUITY">"c1267"</definedName>
    <definedName name="IQ_TOTAL_EQUITY_10YR_ANN_CAGR">"c6145"</definedName>
    <definedName name="IQ_TOTAL_EQUITY_10YR_ANN_GROWTH">"c1268"</definedName>
    <definedName name="IQ_TOTAL_EQUITY_1YR_ANN_GROWTH">"c1269"</definedName>
    <definedName name="IQ_TOTAL_EQUITY_2YR_ANN_CAGR">"c6146"</definedName>
    <definedName name="IQ_TOTAL_EQUITY_2YR_ANN_GROWTH">"c1270"</definedName>
    <definedName name="IQ_TOTAL_EQUITY_3YR_ANN_CAGR">"c6147"</definedName>
    <definedName name="IQ_TOTAL_EQUITY_3YR_ANN_GROWTH">"c1271"</definedName>
    <definedName name="IQ_TOTAL_EQUITY_5YR_ANN_CAGR">"c6148"</definedName>
    <definedName name="IQ_TOTAL_EQUITY_5YR_ANN_GROWTH">"c1272"</definedName>
    <definedName name="IQ_TOTAL_EQUITY_7YR_ANN_CAGR">"c6149"</definedName>
    <definedName name="IQ_TOTAL_EQUITY_7YR_ANN_GROWTH">"c1273"</definedName>
    <definedName name="IQ_TOTAL_EQUITY_ALLOWANCE_TOTAL_LOANS">"c1274"</definedName>
    <definedName name="IQ_TOTAL_INTEREST_EXP">"c1382"</definedName>
    <definedName name="IQ_TOTAL_INVENTORY">"c1385"</definedName>
    <definedName name="IQ_TOTAL_INVEST">"c1275"</definedName>
    <definedName name="IQ_TOTAL_LIAB">"c1276"</definedName>
    <definedName name="IQ_TOTAL_LIAB_BNK">"c1277"</definedName>
    <definedName name="IQ_TOTAL_LIAB_BR">"c1278"</definedName>
    <definedName name="IQ_TOTAL_LIAB_EQUITY">"c1279"</definedName>
    <definedName name="IQ_TOTAL_LIAB_FIN">"c1280"</definedName>
    <definedName name="IQ_TOTAL_LIAB_INS">"c1281"</definedName>
    <definedName name="IQ_TOTAL_LIAB_RE">"c6273"</definedName>
    <definedName name="IQ_TOTAL_LIAB_REIT">"c1282"</definedName>
    <definedName name="IQ_TOTAL_LIAB_SHAREHOLD">"c1435"</definedName>
    <definedName name="IQ_TOTAL_LIAB_TOTAL_ASSETS">"c1283"</definedName>
    <definedName name="IQ_TOTAL_LOANS">"c5653"</definedName>
    <definedName name="IQ_TOTAL_LONG_DEBT">"c1617"</definedName>
    <definedName name="IQ_TOTAL_NON_REC">"c1444"</definedName>
    <definedName name="IQ_TOTAL_OPER_EXP_BR">"c1284"</definedName>
    <definedName name="IQ_TOTAL_OPER_EXP_FIN">"c1285"</definedName>
    <definedName name="IQ_TOTAL_OPER_EXP_INS">"c1286"</definedName>
    <definedName name="IQ_TOTAL_OPER_EXP_RE">"c6274"</definedName>
    <definedName name="IQ_TOTAL_OPER_EXP_REIT">"c1287"</definedName>
    <definedName name="IQ_TOTAL_OPER_EXP_UTI">"c1288"</definedName>
    <definedName name="IQ_TOTAL_OPER_EXPEN">"c1445"</definedName>
    <definedName name="IQ_TOTAL_OPTIONS_BEG_OS">"c2693"</definedName>
    <definedName name="IQ_TOTAL_OPTIONS_CANCELLED">"c2696"</definedName>
    <definedName name="IQ_TOTAL_OPTIONS_END_OS">"c2697"</definedName>
    <definedName name="IQ_TOTAL_OPTIONS_EXERCISABLE_END_OS">"c5819"</definedName>
    <definedName name="IQ_TOTAL_OPTIONS_EXERCISED">"c2695"</definedName>
    <definedName name="IQ_TOTAL_OPTIONS_GRANTED">"c2694"</definedName>
    <definedName name="IQ_TOTAL_OTHER_OPER">"c1289"</definedName>
    <definedName name="IQ_TOTAL_OUTSTANDING_BS_DATE">"c1022"</definedName>
    <definedName name="IQ_TOTAL_OUTSTANDING_FILING_DATE">"c2107"</definedName>
    <definedName name="IQ_TOTAL_PENSION_ASSETS">"c1290"</definedName>
    <definedName name="IQ_TOTAL_PENSION_ASSETS_DOMESTIC">"c2658"</definedName>
    <definedName name="IQ_TOTAL_PENSION_ASSETS_FOREIGN">"c2666"</definedName>
    <definedName name="IQ_TOTAL_PENSION_EXP">"c1291"</definedName>
    <definedName name="IQ_TOTAL_PENSION_OBLIGATION">"c1292"</definedName>
    <definedName name="IQ_TOTAL_PRINCIPAL">"c2509"</definedName>
    <definedName name="IQ_TOTAL_PRINCIPAL_PCT">"c2510"</definedName>
    <definedName name="IQ_TOTAL_PROVED_RESERVES_NGL">"c2924"</definedName>
    <definedName name="IQ_TOTAL_PROVED_RESERVES_OIL">"c2040"</definedName>
    <definedName name="IQ_TOTAL_RECEIV">"c1293"</definedName>
    <definedName name="IQ_TOTAL_REV">"c1294"</definedName>
    <definedName name="IQ_TOTAL_REV_10YR_ANN_CAGR">"c6150"</definedName>
    <definedName name="IQ_TOTAL_REV_10YR_ANN_GROWTH">"c1295"</definedName>
    <definedName name="IQ_TOTAL_REV_1YR_ANN_GROWTH">"c1296"</definedName>
    <definedName name="IQ_TOTAL_REV_2YR_ANN_CAGR">"c6151"</definedName>
    <definedName name="IQ_TOTAL_REV_2YR_ANN_GROWTH">"c1297"</definedName>
    <definedName name="IQ_TOTAL_REV_3YR_ANN_CAGR">"c6152"</definedName>
    <definedName name="IQ_TOTAL_REV_3YR_ANN_GROWTH">"c1298"</definedName>
    <definedName name="IQ_TOTAL_REV_5YR_ANN_CAGR">"c6153"</definedName>
    <definedName name="IQ_TOTAL_REV_5YR_ANN_GROWTH">"c1299"</definedName>
    <definedName name="IQ_TOTAL_REV_7YR_ANN_CAGR">"c6154"</definedName>
    <definedName name="IQ_TOTAL_REV_7YR_ANN_GROWTH">"c1300"</definedName>
    <definedName name="IQ_TOTAL_REV_AS_REPORTED">"c1301"</definedName>
    <definedName name="IQ_TOTAL_REV_BNK">"c1302"</definedName>
    <definedName name="IQ_TOTAL_REV_BR">"c1303"</definedName>
    <definedName name="IQ_TOTAL_REV_EMPLOYEE">"c1304"</definedName>
    <definedName name="IQ_TOTAL_REV_FIN">"c1305"</definedName>
    <definedName name="IQ_TOTAL_REV_INS">"c1306"</definedName>
    <definedName name="IQ_TOTAL_REV_RE">"c6275"</definedName>
    <definedName name="IQ_TOTAL_REV_REIT">"c1307"</definedName>
    <definedName name="IQ_TOTAL_REV_SHARE">"c1912"</definedName>
    <definedName name="IQ_TOTAL_REV_UTI">"c1308"</definedName>
    <definedName name="IQ_TOTAL_REVENUE">"c1436"</definedName>
    <definedName name="IQ_TOTAL_SPECIAL">"c1618"</definedName>
    <definedName name="IQ_TOTAL_ST_BORROW">"c1424"</definedName>
    <definedName name="IQ_TOTAL_SUB_DEBT">"c2528"</definedName>
    <definedName name="IQ_TOTAL_SUB_DEBT_EBITDA">"c2554"</definedName>
    <definedName name="IQ_TOTAL_SUB_DEBT_EBITDA_CAPEX">"c2555"</definedName>
    <definedName name="IQ_TOTAL_SUB_DEBT_PCT">"c2529"</definedName>
    <definedName name="IQ_TOTAL_SUBS">"c2119"</definedName>
    <definedName name="IQ_TOTAL_UNUSUAL">"c1508"</definedName>
    <definedName name="IQ_TOTAL_UNUSUAL_BNK">"c5516"</definedName>
    <definedName name="IQ_TOTAL_UNUSUAL_BR">"c5517"</definedName>
    <definedName name="IQ_TOTAL_UNUSUAL_FIN">"c5518"</definedName>
    <definedName name="IQ_TOTAL_UNUSUAL_INS">"c5519"</definedName>
    <definedName name="IQ_TOTAL_UNUSUAL_RE">"c6286"</definedName>
    <definedName name="IQ_TOTAL_UNUSUAL_REIT">"c5520"</definedName>
    <definedName name="IQ_TOTAL_UNUSUAL_UTI">"c5521"</definedName>
    <definedName name="IQ_TOTAL_WARRANTS_BEG_OS">"c2719"</definedName>
    <definedName name="IQ_TOTAL_WARRANTS_CANCELLED">"c2722"</definedName>
    <definedName name="IQ_TOTAL_WARRANTS_END_OS">"c2723"</definedName>
    <definedName name="IQ_TOTAL_WARRANTS_EXERCISED">"c2721"</definedName>
    <definedName name="IQ_TOTAL_WARRANTS_ISSUED">"c2720"</definedName>
    <definedName name="IQ_TR_ACCT_METHOD">"c2363"</definedName>
    <definedName name="IQ_TR_ACQ_52_WK_HI_PCT">"c2348"</definedName>
    <definedName name="IQ_TR_ACQ_52_WK_LOW_PCT">"c2347"</definedName>
    <definedName name="IQ_TR_ACQ_CASH_ST_INVEST">"c2372"</definedName>
    <definedName name="IQ_TR_ACQ_CLOSEPRICE_1D">"c3027"</definedName>
    <definedName name="IQ_TR_ACQ_DILUT_EPS_EXCL">"c3028"</definedName>
    <definedName name="IQ_TR_ACQ_EARNING_CO">"c2379"</definedName>
    <definedName name="IQ_TR_ACQ_EBIT">"c2380"</definedName>
    <definedName name="IQ_TR_ACQ_EBIT_EQ_INC">"c3611"</definedName>
    <definedName name="IQ_TR_ACQ_EBITDA">"c2381"</definedName>
    <definedName name="IQ_TR_ACQ_EBITDA_EQ_INC">"c3610"</definedName>
    <definedName name="IQ_TR_ACQ_FILING_CURRENCY">"c3033"</definedName>
    <definedName name="IQ_TR_ACQ_FILINGDATE">"c3607"</definedName>
    <definedName name="IQ_TR_ACQ_MCAP_1DAY">"c2345"</definedName>
    <definedName name="IQ_TR_ACQ_MIN_INT">"c2374"</definedName>
    <definedName name="IQ_TR_ACQ_NET_DEBT">"c2373"</definedName>
    <definedName name="IQ_TR_ACQ_NI">"c2378"</definedName>
    <definedName name="IQ_TR_ACQ_PERIODDATE">"c3606"</definedName>
    <definedName name="IQ_TR_ACQ_PRICEDATE_1D">"c2346"</definedName>
    <definedName name="IQ_TR_ACQ_RETURN">"c2349"</definedName>
    <definedName name="IQ_TR_ACQ_STOCKYEARHIGH_1D">"c2343"</definedName>
    <definedName name="IQ_TR_ACQ_STOCKYEARLOW_1D">"c2344"</definedName>
    <definedName name="IQ_TR_ACQ_TOTAL_ASSETS">"c2371"</definedName>
    <definedName name="IQ_TR_ACQ_TOTAL_COMMON_EQ">"c2377"</definedName>
    <definedName name="IQ_TR_ACQ_TOTAL_DEBT">"c2376"</definedName>
    <definedName name="IQ_TR_ACQ_TOTAL_PREF">"c2375"</definedName>
    <definedName name="IQ_TR_ACQ_TOTAL_REV">"c2382"</definedName>
    <definedName name="IQ_TR_ADJ_SIZE">"c3024"</definedName>
    <definedName name="IQ_TR_ANN_DATE">"c2395"</definedName>
    <definedName name="IQ_TR_ANN_DATE_BL">"c2394"</definedName>
    <definedName name="IQ_TR_BID_DATE">"c2357"</definedName>
    <definedName name="IQ_TR_BLUESKY_FEES">"c2277"</definedName>
    <definedName name="IQ_TR_BUY_ACC_ADVISORS">"c3048"</definedName>
    <definedName name="IQ_TR_BUY_FIN_ADVISORS">"c3045"</definedName>
    <definedName name="IQ_TR_BUY_LEG_ADVISORS">"c2387"</definedName>
    <definedName name="IQ_TR_BUYER_ID">"c2404"</definedName>
    <definedName name="IQ_TR_BUYERNAME">"c2401"</definedName>
    <definedName name="IQ_TR_CANCELLED_DATE">"c2284"</definedName>
    <definedName name="IQ_TR_CASH_CONSID_PCT">"c2296"</definedName>
    <definedName name="IQ_TR_CASH_ST_INVEST">"c3025"</definedName>
    <definedName name="IQ_TR_CHANGE_CONTROL">"c2365"</definedName>
    <definedName name="IQ_TR_CLOSED_DATE">"c2283"</definedName>
    <definedName name="IQ_TR_CO_NET_PROCEEDS">"c2268"</definedName>
    <definedName name="IQ_TR_CO_NET_PROCEEDS_PCT">"c2270"</definedName>
    <definedName name="IQ_TR_COMMENTS">"c2383"</definedName>
    <definedName name="IQ_TR_CURRENCY">"c3016"</definedName>
    <definedName name="IQ_TR_DEAL_ATTITUDE">"c2364"</definedName>
    <definedName name="IQ_TR_DEAL_CONDITIONS">"c2367"</definedName>
    <definedName name="IQ_TR_DEAL_RESOLUTION">"c2391"</definedName>
    <definedName name="IQ_TR_DEAL_RESPONSES">"c2366"</definedName>
    <definedName name="IQ_TR_DEBT_CONSID_PCT">"c2299"</definedName>
    <definedName name="IQ_TR_DEF_AGRMT_DATE">"c2285"</definedName>
    <definedName name="IQ_TR_DISCLOSED_FEES_EXP">"c2288"</definedName>
    <definedName name="IQ_TR_EARNOUTS">"c3023"</definedName>
    <definedName name="IQ_TR_EXPIRED_DATE">"c2412"</definedName>
    <definedName name="IQ_TR_GROSS_OFFERING_AMT">"c2262"</definedName>
    <definedName name="IQ_TR_HYBRID_CONSID_PCT">"c2300"</definedName>
    <definedName name="IQ_TR_IMPLIED_EQ">"c3018"</definedName>
    <definedName name="IQ_TR_IMPLIED_EQ_BV">"c3019"</definedName>
    <definedName name="IQ_TR_IMPLIED_EQ_NI_LTM">"c3020"</definedName>
    <definedName name="IQ_TR_IMPLIED_EV">"c2301"</definedName>
    <definedName name="IQ_TR_IMPLIED_EV_BV">"c2306"</definedName>
    <definedName name="IQ_TR_IMPLIED_EV_EBIT">"c2302"</definedName>
    <definedName name="IQ_TR_IMPLIED_EV_EBITDA">"c2303"</definedName>
    <definedName name="IQ_TR_IMPLIED_EV_NI_LTM">"c2307"</definedName>
    <definedName name="IQ_TR_IMPLIED_EV_REV">"c2304"</definedName>
    <definedName name="IQ_TR_INIT_FILED_DATE">"c3495"</definedName>
    <definedName name="IQ_TR_LOI_DATE">"c2282"</definedName>
    <definedName name="IQ_TR_MAJ_MIN_STAKE">"c2389"</definedName>
    <definedName name="IQ_TR_NEGOTIATED_BUYBACK_PRICE">"c2414"</definedName>
    <definedName name="IQ_TR_NET_ASSUM_LIABILITIES">"c2308"</definedName>
    <definedName name="IQ_TR_NET_PROCEEDS">"c2267"</definedName>
    <definedName name="IQ_TR_OFFER_DATE">"c2265"</definedName>
    <definedName name="IQ_TR_OFFER_DATE_MA">"c3035"</definedName>
    <definedName name="IQ_TR_OFFER_PER_SHARE">"c3017"</definedName>
    <definedName name="IQ_TR_OPTIONS_CONSID_PCT">"c2311"</definedName>
    <definedName name="IQ_TR_OTHER_CONSID">"c3022"</definedName>
    <definedName name="IQ_TR_PCT_SOUGHT">"c2309"</definedName>
    <definedName name="IQ_TR_PFEATURES">"c2384"</definedName>
    <definedName name="IQ_TR_PIPE_CONV_PRICE_SHARE">"c2292"</definedName>
    <definedName name="IQ_TR_PIPE_CPN_PCT">"c2291"</definedName>
    <definedName name="IQ_TR_PIPE_NUMBER_SHARES">"c2293"</definedName>
    <definedName name="IQ_TR_PIPE_PPS">"c2290"</definedName>
    <definedName name="IQ_TR_POSTMONEY_VAL">"c2286"</definedName>
    <definedName name="IQ_TR_PREDEAL_SITUATION">"c2390"</definedName>
    <definedName name="IQ_TR_PREF_CONSID_PCT">"c2310"</definedName>
    <definedName name="IQ_TR_PREMONEY_VAL">"c2287"</definedName>
    <definedName name="IQ_TR_PRINTING_FEES">"c2276"</definedName>
    <definedName name="IQ_TR_PT_MONETARY_VALUES">"c2415"</definedName>
    <definedName name="IQ_TR_PT_NUMBER_SHARES">"c2417"</definedName>
    <definedName name="IQ_TR_PT_PCT_SHARES">"c2416"</definedName>
    <definedName name="IQ_TR_RATING_FEES">"c2275"</definedName>
    <definedName name="IQ_TR_REG_EFFECT_DATE">"c2264"</definedName>
    <definedName name="IQ_TR_REG_FILED_DATE">"c2263"</definedName>
    <definedName name="IQ_TR_RENEWAL_BUYBACK">"c2413"</definedName>
    <definedName name="IQ_TR_ROUND_NUMBER">"c2295"</definedName>
    <definedName name="IQ_TR_SEC_FEES">"c2274"</definedName>
    <definedName name="IQ_TR_SECURITY_TYPE_REG">"c2279"</definedName>
    <definedName name="IQ_TR_SELL_ACC_ADVISORS">"c3049"</definedName>
    <definedName name="IQ_TR_SELL_FIN_ADVISORS">"c3046"</definedName>
    <definedName name="IQ_TR_SELL_LEG_ADVISORS">"c2388"</definedName>
    <definedName name="IQ_TR_SELLER_ID">"c2406"</definedName>
    <definedName name="IQ_TR_SELLERNAME">"c2402"</definedName>
    <definedName name="IQ_TR_SFEATURES">"c2385"</definedName>
    <definedName name="IQ_TR_SH_NET_PROCEEDS">"c2269"</definedName>
    <definedName name="IQ_TR_SH_NET_PROCEEDS_PCT">"c2271"</definedName>
    <definedName name="IQ_TR_SPECIAL_COMMITTEE">"c2362"</definedName>
    <definedName name="IQ_TR_STATUS">"c2399"</definedName>
    <definedName name="IQ_TR_STOCK_CONSID_PCT">"c2312"</definedName>
    <definedName name="IQ_TR_SUSPENDED_DATE">"c2407"</definedName>
    <definedName name="IQ_TR_TARGET_52WKHI_PCT">"c2351"</definedName>
    <definedName name="IQ_TR_TARGET_52WKLOW_PCT">"c2350"</definedName>
    <definedName name="IQ_TR_TARGET_ACC_ADVISORS">"c3047"</definedName>
    <definedName name="IQ_TR_TARGET_CASH_ST_INVEST">"c2327"</definedName>
    <definedName name="IQ_TR_TARGET_CLOSEPRICE_1D">"c2352"</definedName>
    <definedName name="IQ_TR_TARGET_CLOSEPRICE_1M">"c2354"</definedName>
    <definedName name="IQ_TR_TARGET_CLOSEPRICE_1W">"c2353"</definedName>
    <definedName name="IQ_TR_TARGET_DILUT_EPS_EXCL">"c2324"</definedName>
    <definedName name="IQ_TR_TARGET_EARNING_CO">"c2332"</definedName>
    <definedName name="IQ_TR_TARGET_EBIT">"c2333"</definedName>
    <definedName name="IQ_TR_TARGET_EBIT_EQ_INC">"c3609"</definedName>
    <definedName name="IQ_TR_TARGET_EBITDA">"c2334"</definedName>
    <definedName name="IQ_TR_TARGET_EBITDA_EQ_INC">"c3608"</definedName>
    <definedName name="IQ_TR_TARGET_FILING_CURRENCY">"c3034"</definedName>
    <definedName name="IQ_TR_TARGET_FILINGDATE">"c3605"</definedName>
    <definedName name="IQ_TR_TARGET_FIN_ADVISORS">"c3044"</definedName>
    <definedName name="IQ_TR_TARGET_ID">"c2405"</definedName>
    <definedName name="IQ_TR_TARGET_LEG_ADVISORS">"c2386"</definedName>
    <definedName name="IQ_TR_TARGET_MARKETCAP">"c2342"</definedName>
    <definedName name="IQ_TR_TARGET_MIN_INT">"c2328"</definedName>
    <definedName name="IQ_TR_TARGET_NET_DEBT">"c2326"</definedName>
    <definedName name="IQ_TR_TARGET_NI">"c2331"</definedName>
    <definedName name="IQ_TR_TARGET_PERIODDATE">"c3604"</definedName>
    <definedName name="IQ_TR_TARGET_PRICEDATE_1D">"c2341"</definedName>
    <definedName name="IQ_TR_TARGET_RETURN">"c2355"</definedName>
    <definedName name="IQ_TR_TARGET_SEC_DETAIL">"c3021"</definedName>
    <definedName name="IQ_TR_TARGET_SEC_TI_ID">"c2368"</definedName>
    <definedName name="IQ_TR_TARGET_SEC_TYPE">"c2369"</definedName>
    <definedName name="IQ_TR_TARGET_SPD">"c2313"</definedName>
    <definedName name="IQ_TR_TARGET_SPD_PCT">"c2314"</definedName>
    <definedName name="IQ_TR_TARGET_STOCKPREMIUM_1D">"c2336"</definedName>
    <definedName name="IQ_TR_TARGET_STOCKPREMIUM_1M">"c2337"</definedName>
    <definedName name="IQ_TR_TARGET_STOCKPREMIUM_1W">"c2338"</definedName>
    <definedName name="IQ_TR_TARGET_STOCKYEARHIGH_1D">"c2339"</definedName>
    <definedName name="IQ_TR_TARGET_STOCKYEARLOW_1D">"c2340"</definedName>
    <definedName name="IQ_TR_TARGET_TOTAL_ASSETS">"c2325"</definedName>
    <definedName name="IQ_TR_TARGET_TOTAL_COMMON_EQ">"c2421"</definedName>
    <definedName name="IQ_TR_TARGET_TOTAL_DEBT">"c2330"</definedName>
    <definedName name="IQ_TR_TARGET_TOTAL_PREF">"c2329"</definedName>
    <definedName name="IQ_TR_TARGET_TOTAL_REV">"c2335"</definedName>
    <definedName name="IQ_TR_TARGETNAME">"c2403"</definedName>
    <definedName name="IQ_TR_TERM_FEE">"c2298"</definedName>
    <definedName name="IQ_TR_TERM_FEE_PCT">"c2297"</definedName>
    <definedName name="IQ_TR_TODATE">"c3036"</definedName>
    <definedName name="IQ_TR_TODATE_MONETARY_VALUE">"c2418"</definedName>
    <definedName name="IQ_TR_TODATE_NUMBER_SHARES">"c2420"</definedName>
    <definedName name="IQ_TR_TODATE_PCT_SHARES">"c2419"</definedName>
    <definedName name="IQ_TR_TOTAL_ACCT_FEES">"c2273"</definedName>
    <definedName name="IQ_TR_TOTAL_CASH">"c2315"</definedName>
    <definedName name="IQ_TR_TOTAL_CONSID_SH">"c2316"</definedName>
    <definedName name="IQ_TR_TOTAL_DEBT">"c2317"</definedName>
    <definedName name="IQ_TR_TOTAL_GROSS_TV">"c2318"</definedName>
    <definedName name="IQ_TR_TOTAL_HYBRID">"c2319"</definedName>
    <definedName name="IQ_TR_TOTAL_LEGAL_FEES">"c2272"</definedName>
    <definedName name="IQ_TR_TOTAL_NET_TV">"c2320"</definedName>
    <definedName name="IQ_TR_TOTAL_NEWMONEY">"c2289"</definedName>
    <definedName name="IQ_TR_TOTAL_OPTIONS">"c2322"</definedName>
    <definedName name="IQ_TR_TOTAL_OPTIONS_BUYER">"c3026"</definedName>
    <definedName name="IQ_TR_TOTAL_PREFERRED">"c2321"</definedName>
    <definedName name="IQ_TR_TOTAL_REG_AMT">"c2261"</definedName>
    <definedName name="IQ_TR_TOTAL_STOCK">"c2323"</definedName>
    <definedName name="IQ_TR_TOTAL_TAKEDOWNS">"c2278"</definedName>
    <definedName name="IQ_TR_TOTAL_UW_COMP">"c2280"</definedName>
    <definedName name="IQ_TR_TOTALVALUE">"c2400"</definedName>
    <definedName name="IQ_TR_TRANSACTION_TYPE">"c2398"</definedName>
    <definedName name="IQ_TR_WITHDRAWN_DTE">"c2266"</definedName>
    <definedName name="IQ_TRADE_AR">"c1345"</definedName>
    <definedName name="IQ_TRADE_PRINCIPAL">"c1309"</definedName>
    <definedName name="IQ_TRADING_ASSETS">"c1310"</definedName>
    <definedName name="IQ_TRADING_CURRENCY">"c2212"</definedName>
    <definedName name="IQ_TREASURY">"c1311"</definedName>
    <definedName name="IQ_TREASURY_OTHER_EQUITY">"c1312"</definedName>
    <definedName name="IQ_TREASURY_OTHER_EQUITY_BNK">"c1313"</definedName>
    <definedName name="IQ_TREASURY_OTHER_EQUITY_BR">"c1314"</definedName>
    <definedName name="IQ_TREASURY_OTHER_EQUITY_FIN">"c1315"</definedName>
    <definedName name="IQ_TREASURY_OTHER_EQUITY_INS">"c1316"</definedName>
    <definedName name="IQ_TREASURY_OTHER_EQUITY_RE">"c6276"</definedName>
    <definedName name="IQ_TREASURY_OTHER_EQUITY_REIT">"c1317"</definedName>
    <definedName name="IQ_TREASURY_OTHER_EQUITY_UTI">"c1318"</definedName>
    <definedName name="IQ_TREASURY_STOCK">"c1438"</definedName>
    <definedName name="IQ_TRUST_INC">"c1319"</definedName>
    <definedName name="IQ_TRUST_PREF">"c1320"</definedName>
    <definedName name="IQ_TRUST_PREFERRED">"c3029"</definedName>
    <definedName name="IQ_TRUST_PREFERRED_PCT">"c3030"</definedName>
    <definedName name="IQ_UFCF_10YR_ANN_CAGR">"c6179"</definedName>
    <definedName name="IQ_UFCF_10YR_ANN_GROWTH">"c1948"</definedName>
    <definedName name="IQ_UFCF_1YR_ANN_GROWTH">"c1943"</definedName>
    <definedName name="IQ_UFCF_2YR_ANN_CAGR">"c6175"</definedName>
    <definedName name="IQ_UFCF_2YR_ANN_GROWTH">"c1944"</definedName>
    <definedName name="IQ_UFCF_3YR_ANN_CAGR">"c6176"</definedName>
    <definedName name="IQ_UFCF_3YR_ANN_GROWTH">"c1945"</definedName>
    <definedName name="IQ_UFCF_5YR_ANN_CAGR">"c6177"</definedName>
    <definedName name="IQ_UFCF_5YR_ANN_GROWTH">"c1946"</definedName>
    <definedName name="IQ_UFCF_7YR_ANN_CAGR">"c6178"</definedName>
    <definedName name="IQ_UFCF_7YR_ANN_GROWTH">"c1947"</definedName>
    <definedName name="IQ_UFCF_MARGIN">"c1962"</definedName>
    <definedName name="IQ_ULT_PARENT">"c3037"</definedName>
    <definedName name="IQ_ULT_PARENT_CIQID">"c3039"</definedName>
    <definedName name="IQ_ULT_PARENT_TICKER">"c3038"</definedName>
    <definedName name="IQ_UNAMORT_DISC">"c2513"</definedName>
    <definedName name="IQ_UNAMORT_DISC_PCT">"c2514"</definedName>
    <definedName name="IQ_UNAMORT_PREMIUM">"c2511"</definedName>
    <definedName name="IQ_UNAMORT_PREMIUM_PCT">"c2512"</definedName>
    <definedName name="IQ_UNDRAWN_CP">"c2518"</definedName>
    <definedName name="IQ_UNDRAWN_CREDIT">"c3032"</definedName>
    <definedName name="IQ_UNDRAWN_RC">"c2517"</definedName>
    <definedName name="IQ_UNDRAWN_TL">"c2519"</definedName>
    <definedName name="IQ_UNEARN_PREMIUM">"c1321"</definedName>
    <definedName name="IQ_UNEARN_REV_CURRENT">"c1322"</definedName>
    <definedName name="IQ_UNEARN_REV_CURRENT_BNK">"c1323"</definedName>
    <definedName name="IQ_UNEARN_REV_CURRENT_BR">"c1324"</definedName>
    <definedName name="IQ_UNEARN_REV_CURRENT_FIN">"c1325"</definedName>
    <definedName name="IQ_UNEARN_REV_CURRENT_INS">"c1326"</definedName>
    <definedName name="IQ_UNEARN_REV_CURRENT_RE">"c6277"</definedName>
    <definedName name="IQ_UNEARN_REV_CURRENT_REIT">"c1327"</definedName>
    <definedName name="IQ_UNEARN_REV_CURRENT_UTI">"c1328"</definedName>
    <definedName name="IQ_UNEARN_REV_LT">"c1329"</definedName>
    <definedName name="IQ_UNLEVERED_FCF">"c1908"</definedName>
    <definedName name="IQ_UNPAID_CLAIMS">"c1330"</definedName>
    <definedName name="IQ_UNREALIZED_GAIN">"c1619"</definedName>
    <definedName name="IQ_UNSECURED_DEBT">"c2548"</definedName>
    <definedName name="IQ_UNSECURED_DEBT_PCT">"c2549"</definedName>
    <definedName name="IQ_UNUSUAL_EXP">"c1456"</definedName>
    <definedName name="IQ_US_GAAP">"c1331"</definedName>
    <definedName name="IQ_US_GAAP_BASIC_EPS_EXCL">"c2984"</definedName>
    <definedName name="IQ_US_GAAP_BASIC_EPS_INCL">"c2982"</definedName>
    <definedName name="IQ_US_GAAP_BASIC_WEIGHT">"c2980"</definedName>
    <definedName name="IQ_US_GAAP_CA_ADJ">"c2925"</definedName>
    <definedName name="IQ_US_GAAP_CASH_FINAN">"c2945"</definedName>
    <definedName name="IQ_US_GAAP_CASH_FINAN_ADJ">"c2941"</definedName>
    <definedName name="IQ_US_GAAP_CASH_INVEST">"c2944"</definedName>
    <definedName name="IQ_US_GAAP_CASH_INVEST_ADJ">"c2940"</definedName>
    <definedName name="IQ_US_GAAP_CASH_OPER">"c2943"</definedName>
    <definedName name="IQ_US_GAAP_CASH_OPER_ADJ">"c2939"</definedName>
    <definedName name="IQ_US_GAAP_CL_ADJ">"c2927"</definedName>
    <definedName name="IQ_US_GAAP_COST_REV_ADJ">"c2951"</definedName>
    <definedName name="IQ_US_GAAP_DILUT_EPS_EXCL">"c2985"</definedName>
    <definedName name="IQ_US_GAAP_DILUT_EPS_INCL">"c2983"</definedName>
    <definedName name="IQ_US_GAAP_DILUT_NI">"c2979"</definedName>
    <definedName name="IQ_US_GAAP_DILUT_WEIGHT">"c2981"</definedName>
    <definedName name="IQ_US_GAAP_DO_ADJ">"c2959"</definedName>
    <definedName name="IQ_US_GAAP_EXTRA_ACC_ITEMS_ADJ">"c2958"</definedName>
    <definedName name="IQ_US_GAAP_INC_TAX_ADJ">"c2961"</definedName>
    <definedName name="IQ_US_GAAP_INTEREST_EXP_ADJ">"c2957"</definedName>
    <definedName name="IQ_US_GAAP_LIAB_LT_ADJ">"c2928"</definedName>
    <definedName name="IQ_US_GAAP_LIAB_TOTAL_LIAB">"c2933"</definedName>
    <definedName name="IQ_US_GAAP_MINORITY_INTEREST_IS_ADJ">"c2960"</definedName>
    <definedName name="IQ_US_GAAP_NCA_ADJ">"c2926"</definedName>
    <definedName name="IQ_US_GAAP_NET_CHANGE">"c2946"</definedName>
    <definedName name="IQ_US_GAAP_NET_CHANGE_ADJ">"c2942"</definedName>
    <definedName name="IQ_US_GAAP_NI">"c2976"</definedName>
    <definedName name="IQ_US_GAAP_NI_ADJ">"c2963"</definedName>
    <definedName name="IQ_US_GAAP_NI_AVAIL_INCL">"c2978"</definedName>
    <definedName name="IQ_US_GAAP_OTHER_ADJ_ADJ">"c2962"</definedName>
    <definedName name="IQ_US_GAAP_OTHER_NON_OPER_ADJ">"c2955"</definedName>
    <definedName name="IQ_US_GAAP_OTHER_OPER_ADJ">"c2954"</definedName>
    <definedName name="IQ_US_GAAP_RD_ADJ">"c2953"</definedName>
    <definedName name="IQ_US_GAAP_SGA_ADJ">"c2952"</definedName>
    <definedName name="IQ_US_GAAP_TOTAL_ASSETS">"c2931"</definedName>
    <definedName name="IQ_US_GAAP_TOTAL_EQUITY">"c2934"</definedName>
    <definedName name="IQ_US_GAAP_TOTAL_EQUITY_ADJ">"c2929"</definedName>
    <definedName name="IQ_US_GAAP_TOTAL_REV_ADJ">"c2950"</definedName>
    <definedName name="IQ_US_GAAP_TOTAL_UNUSUAL_ADJ">"c2956"</definedName>
    <definedName name="IQ_UTIL_PPE_NET">"c1620"</definedName>
    <definedName name="IQ_UTIL_REV">"c2091"</definedName>
    <definedName name="IQ_UV_PENSION_LIAB">"c1332"</definedName>
    <definedName name="IQ_VALUE_TRADED_LAST_3MTH">"c1530"</definedName>
    <definedName name="IQ_VALUE_TRADED_LAST_6MTH">"c1531"</definedName>
    <definedName name="IQ_VALUE_TRADED_LAST_MTH">"c1529"</definedName>
    <definedName name="IQ_VALUE_TRADED_LAST_WK">"c1528"</definedName>
    <definedName name="IQ_VALUE_TRADED_LAST_YR">"c1532"</definedName>
    <definedName name="IQ_VOL_LAST_3MTH">"c1525"</definedName>
    <definedName name="IQ_VOL_LAST_6MTH">"c1526"</definedName>
    <definedName name="IQ_VOL_LAST_MTH">"c1524"</definedName>
    <definedName name="IQ_VOL_LAST_WK">"c1523"</definedName>
    <definedName name="IQ_VOL_LAST_YR">"c1527"</definedName>
    <definedName name="IQ_VOLUME">"c1333"</definedName>
    <definedName name="IQ_WARRANTS_BEG_OS">"c2698"</definedName>
    <definedName name="IQ_WARRANTS_CANCELLED">"c2701"</definedName>
    <definedName name="IQ_WARRANTS_END_OS">"c2702"</definedName>
    <definedName name="IQ_WARRANTS_EXERCISED">"c2700"</definedName>
    <definedName name="IQ_WARRANTS_ISSUED">"c2699"</definedName>
    <definedName name="IQ_WARRANTS_STRIKE_PRICE_ISSUED">"c2704"</definedName>
    <definedName name="IQ_WARRANTS_STRIKE_PRICE_OS">"c2703"</definedName>
    <definedName name="IQ_WEIGHTED_AVG_PRICE">"c1334"</definedName>
    <definedName name="IQ_WIP_INV">"c1335"</definedName>
    <definedName name="IQ_WORKING_CAP">"c3494"</definedName>
    <definedName name="IQ_WORKMEN_WRITTEN">"c1336"</definedName>
    <definedName name="IQ_XDIV_DATE">"c2203"</definedName>
    <definedName name="IQ_YEARHIGH">"c1337"</definedName>
    <definedName name="IQ_YEARHIGH_DATE">"c2250"</definedName>
    <definedName name="IQ_YEARLOW">"c1338"</definedName>
    <definedName name="IQ_YEARLOW_DATE">"c2251"</definedName>
    <definedName name="IQ_YTD">3000</definedName>
    <definedName name="IQ_YTDMONTH">130000</definedName>
    <definedName name="IQ_YTW">"c2163"</definedName>
    <definedName name="IQ_YTW_DATE">"c2164"</definedName>
    <definedName name="IQ_YTW_DATE_TYPE">"c2165"</definedName>
    <definedName name="IQ_Z_SCORE">"c1339"</definedName>
    <definedName name="IsColHidden">FALSE</definedName>
    <definedName name="IsLTMColHidden">FALSE</definedName>
    <definedName name="July2007" localSheetId="74">{"2002Frcst","06Month",FALSE,"Frcst Format 2002"}</definedName>
    <definedName name="July2007" localSheetId="82">{"2002Frcst","06Month",FALSE,"Frcst Format 2002"}</definedName>
    <definedName name="July2007">{"2002Frcst","06Month",FALSE,"Frcst Format 2002"}</definedName>
    <definedName name="limcount">1</definedName>
    <definedName name="ListOffset">1</definedName>
    <definedName name="_xlnm.Print_Area" localSheetId="13">'AD-9'!$A$1:$F$25</definedName>
    <definedName name="_xlnm.Print_Area" localSheetId="19">'AE-2'!$A$1:$F$25</definedName>
    <definedName name="_xlnm.Print_Area" localSheetId="20">'AE-3'!$A$1:$F$25</definedName>
    <definedName name="_xlnm.Print_Area" localSheetId="29">'AG-1'!$A$1:$E$32</definedName>
    <definedName name="_xlnm.Print_Area" localSheetId="33">'AH-2'!$A$1:$H$55</definedName>
    <definedName name="_xlnm.Print_Area" localSheetId="36">'AJ-1'!$A$1:$L$33</definedName>
    <definedName name="_xlnm.Print_Area" localSheetId="50">'AL-1'!$A$1:$E$33</definedName>
    <definedName name="_xlnm.Print_Area" localSheetId="0">'BK-1 BTRR - EU'!$A$1:$H$349</definedName>
    <definedName name="_xlnm.Print_Area" localSheetId="1">'BK-2 BTRR - CAISO'!$A$1:$J$50</definedName>
    <definedName name="_xlnm.Print_Area" localSheetId="76">'TO5 True-Up BK-1'!$A$1:$H$191</definedName>
    <definedName name="_xlnm.Print_Area" localSheetId="77">'TO6 True-Up BK-1'!$A$1:$H$201</definedName>
    <definedName name="_xlnm.Print_Area" localSheetId="83">'True-Up AH-2'!$A$1:$H$56</definedName>
    <definedName name="_xlnm.Print_Titles" localSheetId="33">'AH-2'!$1:$6</definedName>
    <definedName name="rert" localSheetId="74">{"'Attachment'!$A$1:$L$49"}</definedName>
    <definedName name="rert" localSheetId="82">{"'Attachment'!$A$1:$L$49"}</definedName>
    <definedName name="rert">{"'Attachment'!$A$1:$L$49"}</definedName>
    <definedName name="RiskAfterRecalcMacro">"'10 Year Model.xls'!RiskSim"</definedName>
    <definedName name="RiskAfterSimMacro">""</definedName>
    <definedName name="RiskBeforeRecalcMacro">""</definedName>
    <definedName name="RiskBeforeSimMacro">""</definedName>
    <definedName name="RiskMultipleCPUSupportEnabled">FALSE</definedName>
    <definedName name="SAPBEXdnldView">"4QVAOUV97B9V54FSUZZTCBT7F"</definedName>
    <definedName name="SAPBEXhrIndnt">"Wide"</definedName>
    <definedName name="SAPBEXrevision">1</definedName>
    <definedName name="SAPBEXsysID">"BWP"</definedName>
    <definedName name="SAPBEXwbID" localSheetId="34">"3HLUHWD7UCRUUESL6DDMKVCIX"</definedName>
    <definedName name="SAPBEXwbID" localSheetId="48">"3HLUHWD7UCRUUESL6DDMKVCIX"</definedName>
    <definedName name="SAPBEXwbID" localSheetId="56">"3OI398WBFRH41IFEVHKOMVZ17"</definedName>
    <definedName name="SAPBEXwbID" localSheetId="58">"3OI398WBFRH41IFEVHKOMVZ17"</definedName>
    <definedName name="SAPBEXwbID" localSheetId="60">"3GYSU24DE0L8OAD9MMA71DS87"</definedName>
    <definedName name="SAPBEXwbID" localSheetId="62">"3OI398WBFRH41IFEVHKOMVZ17"</definedName>
    <definedName name="SAPBEXwbID">"3Y9K8GEQN19DC4O0QNCMECQOR"</definedName>
    <definedName name="SAPBEXwbID_1">"3XUXMIA5RU11H3RNT5ERG5LI3"</definedName>
    <definedName name="SAPsysID">"708C5W7SBKP804JT78WJ0JNKI"</definedName>
    <definedName name="SAPwbID">"ARS"</definedName>
    <definedName name="sencount">1</definedName>
    <definedName name="solver_cvg">0.0001</definedName>
    <definedName name="solver_drv">1</definedName>
    <definedName name="solver_est">1</definedName>
    <definedName name="solver_itr">100</definedName>
    <definedName name="solver_lin">2</definedName>
    <definedName name="solver_neg">2</definedName>
    <definedName name="solver_num">0</definedName>
    <definedName name="solver_nwt">1</definedName>
    <definedName name="solver_pre">0.000001</definedName>
    <definedName name="solver_scl">2</definedName>
    <definedName name="solver_sho">2</definedName>
    <definedName name="solver_tim">100</definedName>
    <definedName name="solver_tol">0.05</definedName>
    <definedName name="solver_typ">3</definedName>
    <definedName name="solver_val">1000000000</definedName>
    <definedName name="TextRefCopyRangeCount">39</definedName>
    <definedName name="TP_Footer_User">"Melvin Williams"</definedName>
    <definedName name="TP_Footer_Version">"v3.00"</definedName>
    <definedName name="wrn.June2002." localSheetId="74">{"2002Frcst","06Month",FALSE,"Frcst Format 2002"}</definedName>
    <definedName name="wrn.June2002." localSheetId="82">{"2002Frcst","06Month",FALSE,"Frcst Format 2002"}</definedName>
    <definedName name="wrn.June2002.">{"2002Frcst","06Month",FALSE,"Frcst Format 2002"}</definedName>
    <definedName name="wrn.May2002." localSheetId="74">{"2002Frcst","05Month",FALSE,"Frcst Format 2002"}</definedName>
    <definedName name="wrn.May2002." localSheetId="82">{"2002Frcst","05Month",FALSE,"Frcst Format 2002"}</definedName>
    <definedName name="wrn.May2002.">{"2002Frcst","05Month",FALSE,"Frcst Format 2002"}</definedName>
    <definedName name="XRefColumnsCount">1</definedName>
    <definedName name="XRefCopyRangeCount">1</definedName>
    <definedName name="XRefPasteRangeCount">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201" l="1"/>
  <c r="E30" i="201"/>
  <c r="E31" i="201"/>
  <c r="E32" i="201"/>
  <c r="E33" i="201"/>
  <c r="E34" i="201"/>
  <c r="E28" i="201"/>
  <c r="E10" i="202"/>
  <c r="E12" i="202" s="1"/>
  <c r="F35" i="202"/>
  <c r="F35" i="201"/>
  <c r="E35" i="202"/>
  <c r="G27" i="202"/>
  <c r="F27" i="202"/>
  <c r="H27" i="202" s="1"/>
  <c r="G26" i="202"/>
  <c r="G25" i="202"/>
  <c r="G24" i="202"/>
  <c r="G23" i="202"/>
  <c r="C23" i="202"/>
  <c r="C34" i="202" s="1"/>
  <c r="N11" i="202"/>
  <c r="N12" i="202" s="1"/>
  <c r="N13" i="202" s="1"/>
  <c r="N14" i="202" s="1"/>
  <c r="N15" i="202" s="1"/>
  <c r="N16" i="202" s="1"/>
  <c r="N17" i="202" s="1"/>
  <c r="N18" i="202" s="1"/>
  <c r="N19" i="202" s="1"/>
  <c r="N20" i="202" s="1"/>
  <c r="N21" i="202" s="1"/>
  <c r="N22" i="202" s="1"/>
  <c r="N23" i="202" s="1"/>
  <c r="N24" i="202" s="1"/>
  <c r="N25" i="202" s="1"/>
  <c r="N26" i="202" s="1"/>
  <c r="N27" i="202" s="1"/>
  <c r="N28" i="202" s="1"/>
  <c r="N29" i="202" s="1"/>
  <c r="N30" i="202" s="1"/>
  <c r="N31" i="202" s="1"/>
  <c r="N32" i="202" s="1"/>
  <c r="N33" i="202" s="1"/>
  <c r="N34" i="202" s="1"/>
  <c r="N35" i="202" s="1"/>
  <c r="A11" i="202"/>
  <c r="A12" i="202" s="1"/>
  <c r="A13" i="202" s="1"/>
  <c r="A14" i="202" s="1"/>
  <c r="A15" i="202" s="1"/>
  <c r="A16" i="202" s="1"/>
  <c r="A17" i="202" s="1"/>
  <c r="A18" i="202" s="1"/>
  <c r="A19" i="202" s="1"/>
  <c r="A20" i="202" s="1"/>
  <c r="A21" i="202" s="1"/>
  <c r="A22" i="202" s="1"/>
  <c r="A23" i="202" s="1"/>
  <c r="A24" i="202" s="1"/>
  <c r="A25" i="202" s="1"/>
  <c r="A26" i="202" s="1"/>
  <c r="A27" i="202" s="1"/>
  <c r="A28" i="202" s="1"/>
  <c r="A29" i="202" s="1"/>
  <c r="A30" i="202" s="1"/>
  <c r="A31" i="202" s="1"/>
  <c r="A32" i="202" s="1"/>
  <c r="A33" i="202" s="1"/>
  <c r="A34" i="202" s="1"/>
  <c r="A35" i="202" s="1"/>
  <c r="N10" i="202"/>
  <c r="H30" i="202" l="1"/>
  <c r="H28" i="202"/>
  <c r="H33" i="202"/>
  <c r="H29" i="202"/>
  <c r="E11" i="202"/>
  <c r="E13" i="202" s="1"/>
  <c r="C28" i="202"/>
  <c r="C27" i="202"/>
  <c r="C25" i="202"/>
  <c r="C26" i="202"/>
  <c r="F23" i="202"/>
  <c r="H23" i="202" s="1"/>
  <c r="C29" i="202"/>
  <c r="H31" i="202"/>
  <c r="C24" i="202"/>
  <c r="F26" i="202"/>
  <c r="H26" i="202" s="1"/>
  <c r="C32" i="202"/>
  <c r="H34" i="202"/>
  <c r="F24" i="202"/>
  <c r="H24" i="202" s="1"/>
  <c r="C30" i="202"/>
  <c r="H32" i="202"/>
  <c r="C33" i="202"/>
  <c r="F25" i="202"/>
  <c r="H25" i="202" s="1"/>
  <c r="C31" i="202"/>
  <c r="I31" i="202" l="1"/>
  <c r="D23" i="202"/>
  <c r="I28" i="202"/>
  <c r="I33" i="202"/>
  <c r="D25" i="202"/>
  <c r="I25" i="202" s="1"/>
  <c r="I30" i="202"/>
  <c r="D27" i="202"/>
  <c r="I27" i="202" s="1"/>
  <c r="I32" i="202"/>
  <c r="D24" i="202"/>
  <c r="I24" i="202" s="1"/>
  <c r="I29" i="202"/>
  <c r="I34" i="202"/>
  <c r="D26" i="202"/>
  <c r="I26" i="202" s="1"/>
  <c r="H35" i="202"/>
  <c r="I23" i="202" l="1"/>
  <c r="D35" i="202"/>
  <c r="L23" i="202" l="1"/>
  <c r="I35" i="202"/>
  <c r="K23" i="202"/>
  <c r="M23" i="202" l="1"/>
  <c r="K24" i="202" s="1"/>
  <c r="L24" i="202" l="1"/>
  <c r="M24" i="202" s="1"/>
  <c r="K25" i="202" l="1"/>
  <c r="L25" i="202" s="1"/>
  <c r="M25" i="202" l="1"/>
  <c r="K26" i="202" l="1"/>
  <c r="L26" i="202" s="1"/>
  <c r="M26" i="202" l="1"/>
  <c r="K27" i="202" l="1"/>
  <c r="L27" i="202" s="1"/>
  <c r="M27" i="202" l="1"/>
  <c r="K28" i="202" l="1"/>
  <c r="L28" i="202" l="1"/>
  <c r="M28" i="202" s="1"/>
  <c r="K29" i="202" l="1"/>
  <c r="L29" i="202" s="1"/>
  <c r="M29" i="202" l="1"/>
  <c r="K30" i="202" l="1"/>
  <c r="L30" i="202" s="1"/>
  <c r="M30" i="202" l="1"/>
  <c r="K31" i="202" l="1"/>
  <c r="L31" i="202" s="1"/>
  <c r="M31" i="202" l="1"/>
  <c r="K32" i="202" l="1"/>
  <c r="L32" i="202" s="1"/>
  <c r="M32" i="202" l="1"/>
  <c r="K33" i="202" l="1"/>
  <c r="L33" i="202" l="1"/>
  <c r="M33" i="202" s="1"/>
  <c r="K34" i="202" l="1"/>
  <c r="L34" i="202" l="1"/>
  <c r="L35" i="202" s="1"/>
  <c r="M34" i="202" l="1"/>
  <c r="D61" i="201" l="1"/>
  <c r="C60" i="201"/>
  <c r="C59" i="201"/>
  <c r="C58" i="201"/>
  <c r="C57" i="201"/>
  <c r="C56" i="201"/>
  <c r="C55" i="201"/>
  <c r="C54" i="201"/>
  <c r="C53" i="201"/>
  <c r="C52" i="201"/>
  <c r="C51" i="201"/>
  <c r="C50" i="201"/>
  <c r="E49" i="201"/>
  <c r="F31" i="201"/>
  <c r="G34" i="201"/>
  <c r="F34" i="201"/>
  <c r="G33" i="201"/>
  <c r="G32" i="201"/>
  <c r="F32" i="201"/>
  <c r="G31" i="201"/>
  <c r="G30" i="201"/>
  <c r="F30" i="201"/>
  <c r="G29" i="201"/>
  <c r="G28" i="201"/>
  <c r="F28" i="201"/>
  <c r="H26" i="201"/>
  <c r="H24" i="201"/>
  <c r="C23" i="201"/>
  <c r="C34" i="201" s="1"/>
  <c r="A12" i="201"/>
  <c r="A13" i="201" s="1"/>
  <c r="A14" i="201" s="1"/>
  <c r="A15" i="201" s="1"/>
  <c r="A16" i="201" s="1"/>
  <c r="A17" i="201" s="1"/>
  <c r="A18" i="201" s="1"/>
  <c r="A19" i="201" s="1"/>
  <c r="A20" i="201" s="1"/>
  <c r="A21" i="201" s="1"/>
  <c r="A22" i="201" s="1"/>
  <c r="A23" i="201" s="1"/>
  <c r="A24" i="201" s="1"/>
  <c r="A25" i="201" s="1"/>
  <c r="A26" i="201" s="1"/>
  <c r="A27" i="201" s="1"/>
  <c r="A28" i="201" s="1"/>
  <c r="A29" i="201" s="1"/>
  <c r="A30" i="201" s="1"/>
  <c r="A31" i="201" s="1"/>
  <c r="A32" i="201" s="1"/>
  <c r="A33" i="201" s="1"/>
  <c r="A34" i="201" s="1"/>
  <c r="A35" i="201" s="1"/>
  <c r="N11" i="201"/>
  <c r="N12" i="201" s="1"/>
  <c r="N13" i="201" s="1"/>
  <c r="N14" i="201" s="1"/>
  <c r="N15" i="201" s="1"/>
  <c r="N16" i="201" s="1"/>
  <c r="N17" i="201" s="1"/>
  <c r="N18" i="201" s="1"/>
  <c r="N19" i="201" s="1"/>
  <c r="N20" i="201" s="1"/>
  <c r="N21" i="201" s="1"/>
  <c r="N22" i="201" s="1"/>
  <c r="N23" i="201" s="1"/>
  <c r="N24" i="201" s="1"/>
  <c r="N25" i="201" s="1"/>
  <c r="N26" i="201" s="1"/>
  <c r="N27" i="201" s="1"/>
  <c r="N28" i="201" s="1"/>
  <c r="N29" i="201" s="1"/>
  <c r="N30" i="201" s="1"/>
  <c r="N31" i="201" s="1"/>
  <c r="N32" i="201" s="1"/>
  <c r="N33" i="201" s="1"/>
  <c r="N34" i="201" s="1"/>
  <c r="N35" i="201" s="1"/>
  <c r="A11" i="201"/>
  <c r="N10" i="201"/>
  <c r="H23" i="201" l="1"/>
  <c r="C25" i="201"/>
  <c r="C27" i="201"/>
  <c r="C29" i="201"/>
  <c r="C31" i="201"/>
  <c r="C33" i="201"/>
  <c r="E50" i="201"/>
  <c r="E61" i="201" s="1"/>
  <c r="E54" i="201"/>
  <c r="E58" i="201"/>
  <c r="E59" i="201"/>
  <c r="E57" i="201"/>
  <c r="H25" i="201"/>
  <c r="F29" i="201"/>
  <c r="F33" i="201"/>
  <c r="E55" i="201"/>
  <c r="C24" i="201"/>
  <c r="C26" i="201"/>
  <c r="C28" i="201"/>
  <c r="C30" i="201"/>
  <c r="C32" i="201"/>
  <c r="H27" i="201"/>
  <c r="E51" i="201"/>
  <c r="E52" i="201"/>
  <c r="E56" i="201"/>
  <c r="E60" i="201"/>
  <c r="E53" i="201"/>
  <c r="E24" i="140"/>
  <c r="E25" i="140"/>
  <c r="E26" i="140"/>
  <c r="E27" i="140"/>
  <c r="E23" i="140"/>
  <c r="E190" i="200"/>
  <c r="E189" i="200"/>
  <c r="E191" i="200" s="1"/>
  <c r="E142" i="200" s="1"/>
  <c r="E178" i="200"/>
  <c r="E177" i="200"/>
  <c r="E176" i="200"/>
  <c r="E175" i="200"/>
  <c r="E179" i="200" s="1"/>
  <c r="E171" i="200"/>
  <c r="E185" i="200" s="1"/>
  <c r="E170" i="200"/>
  <c r="E169" i="200"/>
  <c r="E183" i="200" s="1"/>
  <c r="E114" i="200" s="1"/>
  <c r="E168" i="200"/>
  <c r="A168" i="200"/>
  <c r="A169" i="200" s="1"/>
  <c r="A170" i="200" s="1"/>
  <c r="A171" i="200" s="1"/>
  <c r="A172" i="200" s="1"/>
  <c r="A173" i="200" s="1"/>
  <c r="A174" i="200" s="1"/>
  <c r="A175" i="200" s="1"/>
  <c r="A176" i="200" s="1"/>
  <c r="A177" i="200" s="1"/>
  <c r="A178" i="200" s="1"/>
  <c r="A179" i="200" s="1"/>
  <c r="A180" i="200" s="1"/>
  <c r="A181" i="200" s="1"/>
  <c r="A182" i="200" s="1"/>
  <c r="A183" i="200" s="1"/>
  <c r="A184" i="200" s="1"/>
  <c r="A185" i="200" s="1"/>
  <c r="A186" i="200" s="1"/>
  <c r="A187" i="200" s="1"/>
  <c r="A188" i="200" s="1"/>
  <c r="A189" i="200" s="1"/>
  <c r="A190" i="200" s="1"/>
  <c r="A191" i="200" s="1"/>
  <c r="H167" i="200"/>
  <c r="H168" i="200" s="1"/>
  <c r="H169" i="200" s="1"/>
  <c r="H170" i="200" s="1"/>
  <c r="H171" i="200" s="1"/>
  <c r="H172" i="200" s="1"/>
  <c r="H173" i="200" s="1"/>
  <c r="H174" i="200" s="1"/>
  <c r="H175" i="200" s="1"/>
  <c r="H176" i="200" s="1"/>
  <c r="H177" i="200" s="1"/>
  <c r="H178" i="200" s="1"/>
  <c r="H179" i="200" s="1"/>
  <c r="H180" i="200" s="1"/>
  <c r="H181" i="200" s="1"/>
  <c r="H182" i="200" s="1"/>
  <c r="H183" i="200" s="1"/>
  <c r="H184" i="200" s="1"/>
  <c r="H185" i="200" s="1"/>
  <c r="H186" i="200" s="1"/>
  <c r="H187" i="200" s="1"/>
  <c r="H188" i="200" s="1"/>
  <c r="H189" i="200" s="1"/>
  <c r="H190" i="200" s="1"/>
  <c r="H191" i="200" s="1"/>
  <c r="B161" i="200"/>
  <c r="E151" i="200"/>
  <c r="E148" i="200"/>
  <c r="E147" i="200"/>
  <c r="E149" i="200" s="1"/>
  <c r="E71" i="200" s="1"/>
  <c r="E143" i="200"/>
  <c r="E144" i="200" s="1"/>
  <c r="E137" i="200"/>
  <c r="E136" i="200"/>
  <c r="E135" i="200"/>
  <c r="E131" i="200"/>
  <c r="E126" i="200"/>
  <c r="E125" i="200"/>
  <c r="E121" i="200"/>
  <c r="E120" i="200"/>
  <c r="E116" i="200"/>
  <c r="A113" i="200"/>
  <c r="A114" i="200" s="1"/>
  <c r="A115" i="200" s="1"/>
  <c r="A116" i="200" s="1"/>
  <c r="A117" i="200" s="1"/>
  <c r="A118" i="200" s="1"/>
  <c r="A119" i="200" s="1"/>
  <c r="A120" i="200" s="1"/>
  <c r="A121" i="200" s="1"/>
  <c r="A122" i="200" s="1"/>
  <c r="A123" i="200" s="1"/>
  <c r="A124" i="200" s="1"/>
  <c r="A125" i="200" s="1"/>
  <c r="A126" i="200" s="1"/>
  <c r="A127" i="200" s="1"/>
  <c r="A128" i="200" s="1"/>
  <c r="A129" i="200" s="1"/>
  <c r="A130" i="200" s="1"/>
  <c r="A131" i="200" s="1"/>
  <c r="A132" i="200" s="1"/>
  <c r="A133" i="200" s="1"/>
  <c r="A134" i="200" s="1"/>
  <c r="A135" i="200" s="1"/>
  <c r="A136" i="200" s="1"/>
  <c r="A137" i="200" s="1"/>
  <c r="A138" i="200" s="1"/>
  <c r="A139" i="200" s="1"/>
  <c r="A140" i="200" s="1"/>
  <c r="A141" i="200" s="1"/>
  <c r="A142" i="200" s="1"/>
  <c r="A143" i="200" s="1"/>
  <c r="A144" i="200" s="1"/>
  <c r="A145" i="200" s="1"/>
  <c r="A146" i="200" s="1"/>
  <c r="A147" i="200" s="1"/>
  <c r="A148" i="200" s="1"/>
  <c r="A149" i="200" s="1"/>
  <c r="A150" i="200" s="1"/>
  <c r="A151" i="200" s="1"/>
  <c r="H112" i="200"/>
  <c r="H113" i="200" s="1"/>
  <c r="H114" i="200" s="1"/>
  <c r="H115" i="200" s="1"/>
  <c r="H116" i="200" s="1"/>
  <c r="H117" i="200" s="1"/>
  <c r="H118" i="200" s="1"/>
  <c r="H119" i="200" s="1"/>
  <c r="H120" i="200" s="1"/>
  <c r="H121" i="200" s="1"/>
  <c r="H122" i="200" s="1"/>
  <c r="H123" i="200" s="1"/>
  <c r="H124" i="200" s="1"/>
  <c r="H125" i="200" s="1"/>
  <c r="H126" i="200" s="1"/>
  <c r="H127" i="200" s="1"/>
  <c r="H128" i="200" s="1"/>
  <c r="H129" i="200" s="1"/>
  <c r="H130" i="200" s="1"/>
  <c r="H131" i="200" s="1"/>
  <c r="H132" i="200" s="1"/>
  <c r="H133" i="200" s="1"/>
  <c r="H134" i="200" s="1"/>
  <c r="H135" i="200" s="1"/>
  <c r="H136" i="200" s="1"/>
  <c r="H137" i="200" s="1"/>
  <c r="H138" i="200" s="1"/>
  <c r="H139" i="200" s="1"/>
  <c r="H140" i="200" s="1"/>
  <c r="H141" i="200" s="1"/>
  <c r="H142" i="200" s="1"/>
  <c r="H143" i="200" s="1"/>
  <c r="H144" i="200" s="1"/>
  <c r="H145" i="200" s="1"/>
  <c r="H146" i="200" s="1"/>
  <c r="H147" i="200" s="1"/>
  <c r="H148" i="200" s="1"/>
  <c r="H149" i="200" s="1"/>
  <c r="H150" i="200" s="1"/>
  <c r="H151" i="200" s="1"/>
  <c r="B106" i="200"/>
  <c r="E86" i="200"/>
  <c r="E82" i="200"/>
  <c r="E75" i="200"/>
  <c r="E77" i="200" s="1"/>
  <c r="E69" i="200"/>
  <c r="E62" i="200"/>
  <c r="E58" i="200"/>
  <c r="A57" i="200"/>
  <c r="A58" i="200" s="1"/>
  <c r="A59" i="200" s="1"/>
  <c r="A60" i="200" s="1"/>
  <c r="A61" i="200" s="1"/>
  <c r="A62" i="200" s="1"/>
  <c r="A63" i="200" s="1"/>
  <c r="A64" i="200" s="1"/>
  <c r="A65" i="200" s="1"/>
  <c r="A66" i="200" s="1"/>
  <c r="A67" i="200" s="1"/>
  <c r="A68" i="200" s="1"/>
  <c r="A69" i="200" s="1"/>
  <c r="A70" i="200" s="1"/>
  <c r="A71" i="200" s="1"/>
  <c r="A72" i="200" s="1"/>
  <c r="A73" i="200" s="1"/>
  <c r="A74" i="200" s="1"/>
  <c r="A75" i="200" s="1"/>
  <c r="A76" i="200" s="1"/>
  <c r="A77" i="200" s="1"/>
  <c r="A78" i="200" s="1"/>
  <c r="A79" i="200" s="1"/>
  <c r="A80" i="200" s="1"/>
  <c r="A81" i="200" s="1"/>
  <c r="A82" i="200" s="1"/>
  <c r="A83" i="200" s="1"/>
  <c r="A84" i="200" s="1"/>
  <c r="A85" i="200" s="1"/>
  <c r="A86" i="200" s="1"/>
  <c r="A87" i="200" s="1"/>
  <c r="A88" i="200" s="1"/>
  <c r="A89" i="200" s="1"/>
  <c r="A90" i="200" s="1"/>
  <c r="A91" i="200" s="1"/>
  <c r="A92" i="200" s="1"/>
  <c r="A93" i="200" s="1"/>
  <c r="A94" i="200" s="1"/>
  <c r="H56" i="200"/>
  <c r="H57" i="200" s="1"/>
  <c r="H58" i="200" s="1"/>
  <c r="H59" i="200" s="1"/>
  <c r="H60" i="200" s="1"/>
  <c r="H61" i="200" s="1"/>
  <c r="H62" i="200" s="1"/>
  <c r="H63" i="200" s="1"/>
  <c r="H64" i="200" s="1"/>
  <c r="H65" i="200" s="1"/>
  <c r="H66" i="200" s="1"/>
  <c r="H67" i="200" s="1"/>
  <c r="H68" i="200" s="1"/>
  <c r="H69" i="200" s="1"/>
  <c r="H70" i="200" s="1"/>
  <c r="H71" i="200" s="1"/>
  <c r="H72" i="200" s="1"/>
  <c r="H73" i="200" s="1"/>
  <c r="H74" i="200" s="1"/>
  <c r="H75" i="200" s="1"/>
  <c r="H76" i="200" s="1"/>
  <c r="H77" i="200" s="1"/>
  <c r="H78" i="200" s="1"/>
  <c r="H79" i="200" s="1"/>
  <c r="H80" i="200" s="1"/>
  <c r="H81" i="200" s="1"/>
  <c r="H82" i="200" s="1"/>
  <c r="H83" i="200" s="1"/>
  <c r="H84" i="200" s="1"/>
  <c r="H85" i="200" s="1"/>
  <c r="H86" i="200" s="1"/>
  <c r="H87" i="200" s="1"/>
  <c r="H88" i="200" s="1"/>
  <c r="H89" i="200" s="1"/>
  <c r="H90" i="200" s="1"/>
  <c r="H91" i="200" s="1"/>
  <c r="H92" i="200" s="1"/>
  <c r="H93" i="200" s="1"/>
  <c r="H94" i="200" s="1"/>
  <c r="E56" i="200"/>
  <c r="B50" i="200"/>
  <c r="E39" i="200"/>
  <c r="E38" i="200"/>
  <c r="E36" i="200"/>
  <c r="E35" i="200"/>
  <c r="E24" i="200"/>
  <c r="E22" i="200"/>
  <c r="E20" i="200"/>
  <c r="E15" i="200"/>
  <c r="A13" i="200"/>
  <c r="A14" i="200" s="1"/>
  <c r="A15" i="200" s="1"/>
  <c r="A16" i="200" s="1"/>
  <c r="A17" i="200" s="1"/>
  <c r="A18" i="200" s="1"/>
  <c r="A19" i="200" s="1"/>
  <c r="A20" i="200" s="1"/>
  <c r="A21" i="200" s="1"/>
  <c r="A22" i="200" s="1"/>
  <c r="A23" i="200" s="1"/>
  <c r="A24" i="200" s="1"/>
  <c r="A25" i="200" s="1"/>
  <c r="A26" i="200" s="1"/>
  <c r="A27" i="200" s="1"/>
  <c r="A28" i="200" s="1"/>
  <c r="A29" i="200" s="1"/>
  <c r="A30" i="200" s="1"/>
  <c r="A31" i="200" s="1"/>
  <c r="A32" i="200" s="1"/>
  <c r="A33" i="200" s="1"/>
  <c r="A34" i="200" s="1"/>
  <c r="A35" i="200" s="1"/>
  <c r="A36" i="200" s="1"/>
  <c r="A37" i="200" s="1"/>
  <c r="A38" i="200" s="1"/>
  <c r="A39" i="200" s="1"/>
  <c r="A40" i="200" s="1"/>
  <c r="A41" i="200" s="1"/>
  <c r="H12" i="200"/>
  <c r="H13" i="200" s="1"/>
  <c r="H14" i="200" s="1"/>
  <c r="H15" i="200" s="1"/>
  <c r="H16" i="200" s="1"/>
  <c r="H17" i="200" s="1"/>
  <c r="H18" i="200" s="1"/>
  <c r="H19" i="200" s="1"/>
  <c r="H20" i="200" s="1"/>
  <c r="H21" i="200" s="1"/>
  <c r="H22" i="200" s="1"/>
  <c r="H23" i="200" s="1"/>
  <c r="H24" i="200" s="1"/>
  <c r="H25" i="200" s="1"/>
  <c r="H26" i="200" s="1"/>
  <c r="H27" i="200" s="1"/>
  <c r="H28" i="200" s="1"/>
  <c r="H29" i="200" s="1"/>
  <c r="H30" i="200" s="1"/>
  <c r="H31" i="200" s="1"/>
  <c r="H32" i="200" s="1"/>
  <c r="H33" i="200" s="1"/>
  <c r="H34" i="200" s="1"/>
  <c r="H35" i="200" s="1"/>
  <c r="H36" i="200" s="1"/>
  <c r="H37" i="200" s="1"/>
  <c r="H38" i="200" s="1"/>
  <c r="H39" i="200" s="1"/>
  <c r="H40" i="200" s="1"/>
  <c r="H41" i="200" s="1"/>
  <c r="A12" i="200"/>
  <c r="H11" i="200"/>
  <c r="H34" i="201" l="1"/>
  <c r="H32" i="201"/>
  <c r="H30" i="201"/>
  <c r="H31" i="201"/>
  <c r="H29" i="201"/>
  <c r="H33" i="201"/>
  <c r="I26" i="201"/>
  <c r="I24" i="201"/>
  <c r="I27" i="201"/>
  <c r="I25" i="201"/>
  <c r="E59" i="200"/>
  <c r="E60" i="200" s="1"/>
  <c r="E63" i="200"/>
  <c r="E64" i="200" s="1"/>
  <c r="E127" i="200"/>
  <c r="E184" i="200"/>
  <c r="E115" i="200" s="1"/>
  <c r="E122" i="200"/>
  <c r="E172" i="200"/>
  <c r="E182" i="200"/>
  <c r="H28" i="201" l="1"/>
  <c r="H35" i="201" s="1"/>
  <c r="E35" i="201"/>
  <c r="I23" i="201"/>
  <c r="E66" i="200"/>
  <c r="E113" i="200"/>
  <c r="E117" i="200" s="1"/>
  <c r="E186" i="200"/>
  <c r="K23" i="201" l="1"/>
  <c r="L23" i="201"/>
  <c r="M23" i="201" l="1"/>
  <c r="G21" i="188"/>
  <c r="E21" i="188"/>
  <c r="C21" i="188"/>
  <c r="G19" i="188"/>
  <c r="E19" i="188"/>
  <c r="C19" i="188"/>
  <c r="I30" i="189"/>
  <c r="I31" i="189" s="1"/>
  <c r="I32" i="189" s="1"/>
  <c r="I33" i="189" s="1"/>
  <c r="I34" i="189" s="1"/>
  <c r="A30" i="189"/>
  <c r="A31" i="189" s="1"/>
  <c r="A32" i="189" s="1"/>
  <c r="A33" i="189" s="1"/>
  <c r="A34" i="189" s="1"/>
  <c r="E34" i="189"/>
  <c r="E33" i="189"/>
  <c r="G32" i="189"/>
  <c r="K24" i="201" l="1"/>
  <c r="L24" i="201" s="1"/>
  <c r="E34" i="184"/>
  <c r="E25" i="184"/>
  <c r="E18" i="184"/>
  <c r="E17" i="184"/>
  <c r="E16" i="184"/>
  <c r="E15" i="184"/>
  <c r="E14" i="184"/>
  <c r="E12" i="184"/>
  <c r="M24" i="201" l="1"/>
  <c r="H30" i="185"/>
  <c r="H31" i="185" s="1"/>
  <c r="H32" i="185" s="1"/>
  <c r="H33" i="185" s="1"/>
  <c r="H34" i="185" s="1"/>
  <c r="H35" i="185" s="1"/>
  <c r="H36" i="185" s="1"/>
  <c r="H37" i="185" s="1"/>
  <c r="H38" i="185" s="1"/>
  <c r="H39" i="185" s="1"/>
  <c r="H40" i="185" s="1"/>
  <c r="H41" i="185" s="1"/>
  <c r="H42" i="185" s="1"/>
  <c r="H43" i="185" s="1"/>
  <c r="H44" i="185" s="1"/>
  <c r="H45" i="185" s="1"/>
  <c r="H46" i="185" s="1"/>
  <c r="H47" i="185" s="1"/>
  <c r="H48" i="185" s="1"/>
  <c r="H49" i="185" s="1"/>
  <c r="H50" i="185" s="1"/>
  <c r="H51" i="185" s="1"/>
  <c r="H52" i="185" s="1"/>
  <c r="H53" i="185" s="1"/>
  <c r="H54" i="185" s="1"/>
  <c r="H55" i="185" s="1"/>
  <c r="H56" i="185" s="1"/>
  <c r="A30" i="185"/>
  <c r="A31" i="185" s="1"/>
  <c r="A32" i="185" s="1"/>
  <c r="A33" i="185" s="1"/>
  <c r="A34" i="185" s="1"/>
  <c r="A35" i="185" s="1"/>
  <c r="A36" i="185" s="1"/>
  <c r="A37" i="185" s="1"/>
  <c r="A38" i="185" s="1"/>
  <c r="A39" i="185" s="1"/>
  <c r="A40" i="185" s="1"/>
  <c r="A41" i="185" s="1"/>
  <c r="A42" i="185" s="1"/>
  <c r="A43" i="185" s="1"/>
  <c r="A44" i="185" s="1"/>
  <c r="A45" i="185" s="1"/>
  <c r="A46" i="185" s="1"/>
  <c r="A47" i="185" s="1"/>
  <c r="A48" i="185" s="1"/>
  <c r="A49" i="185" s="1"/>
  <c r="A50" i="185" s="1"/>
  <c r="A51" i="185" s="1"/>
  <c r="A52" i="185" s="1"/>
  <c r="A53" i="185" s="1"/>
  <c r="A54" i="185" s="1"/>
  <c r="A55" i="185" s="1"/>
  <c r="A56" i="185" s="1"/>
  <c r="E23" i="185"/>
  <c r="E11" i="185"/>
  <c r="K25" i="201" l="1"/>
  <c r="L25" i="201"/>
  <c r="M25" i="201" l="1"/>
  <c r="E18" i="195"/>
  <c r="E11" i="195"/>
  <c r="K26" i="201" l="1"/>
  <c r="L26" i="201" s="1"/>
  <c r="F23" i="57"/>
  <c r="G23" i="57"/>
  <c r="G24" i="57" s="1"/>
  <c r="G25" i="57" s="1"/>
  <c r="G26" i="57" s="1"/>
  <c r="G27" i="57" s="1"/>
  <c r="G28" i="57" s="1"/>
  <c r="A23" i="57"/>
  <c r="A24" i="57" s="1"/>
  <c r="A25" i="57" s="1"/>
  <c r="A26" i="57" s="1"/>
  <c r="A27" i="57" s="1"/>
  <c r="A28" i="57" s="1"/>
  <c r="G14" i="49"/>
  <c r="G15" i="49" s="1"/>
  <c r="G16" i="49" s="1"/>
  <c r="G17" i="49" s="1"/>
  <c r="G18" i="49" s="1"/>
  <c r="G19" i="49" s="1"/>
  <c r="G20" i="49" s="1"/>
  <c r="G21" i="49" s="1"/>
  <c r="G22" i="49" s="1"/>
  <c r="G23" i="49" s="1"/>
  <c r="G24" i="49" s="1"/>
  <c r="G25" i="49" s="1"/>
  <c r="G26" i="49" s="1"/>
  <c r="G27" i="49" s="1"/>
  <c r="G28" i="49" s="1"/>
  <c r="G29" i="49" s="1"/>
  <c r="G30" i="49" s="1"/>
  <c r="G31" i="49" s="1"/>
  <c r="G32" i="49" s="1"/>
  <c r="G33" i="49" s="1"/>
  <c r="G34" i="49" s="1"/>
  <c r="G35" i="49" s="1"/>
  <c r="G36" i="49" s="1"/>
  <c r="G37" i="49" s="1"/>
  <c r="G38" i="49" s="1"/>
  <c r="G39" i="49" s="1"/>
  <c r="G40" i="49" s="1"/>
  <c r="G41" i="49" s="1"/>
  <c r="G42" i="49" s="1"/>
  <c r="G43" i="49" s="1"/>
  <c r="G44" i="49" s="1"/>
  <c r="G45" i="49" s="1"/>
  <c r="G46" i="49" s="1"/>
  <c r="G47" i="49" s="1"/>
  <c r="G48" i="49" s="1"/>
  <c r="G49" i="49" s="1"/>
  <c r="G50" i="49" s="1"/>
  <c r="A14" i="49"/>
  <c r="A15" i="49" s="1"/>
  <c r="A16" i="49" s="1"/>
  <c r="A17" i="49" s="1"/>
  <c r="A18" i="49" s="1"/>
  <c r="A19" i="49" s="1"/>
  <c r="A20" i="49" s="1"/>
  <c r="A21" i="49" s="1"/>
  <c r="A22" i="49" s="1"/>
  <c r="A23" i="49" s="1"/>
  <c r="A24" i="49" s="1"/>
  <c r="A25" i="49" s="1"/>
  <c r="A26" i="49" s="1"/>
  <c r="A27" i="49" s="1"/>
  <c r="A28" i="49" s="1"/>
  <c r="A29" i="49" s="1"/>
  <c r="A30" i="49" s="1"/>
  <c r="A31" i="49" s="1"/>
  <c r="A32" i="49" s="1"/>
  <c r="A33" i="49" s="1"/>
  <c r="A34" i="49" s="1"/>
  <c r="A35" i="49" s="1"/>
  <c r="A36" i="49" s="1"/>
  <c r="A37" i="49" s="1"/>
  <c r="A38" i="49" s="1"/>
  <c r="A39" i="49" s="1"/>
  <c r="A40" i="49" s="1"/>
  <c r="A41" i="49" s="1"/>
  <c r="A42" i="49" s="1"/>
  <c r="A43" i="49" s="1"/>
  <c r="A44" i="49" s="1"/>
  <c r="A45" i="49" s="1"/>
  <c r="A46" i="49" s="1"/>
  <c r="A47" i="49" s="1"/>
  <c r="A48" i="49" s="1"/>
  <c r="A49" i="49" s="1"/>
  <c r="A50" i="49" s="1"/>
  <c r="H59" i="41"/>
  <c r="H60" i="41" s="1"/>
  <c r="H61" i="41" s="1"/>
  <c r="H62" i="41" s="1"/>
  <c r="H63" i="41" s="1"/>
  <c r="H64" i="41" s="1"/>
  <c r="H65" i="41" s="1"/>
  <c r="H66" i="41" s="1"/>
  <c r="H67" i="41" s="1"/>
  <c r="H68" i="41" s="1"/>
  <c r="H69" i="41" s="1"/>
  <c r="A59" i="41"/>
  <c r="A60" i="41" s="1"/>
  <c r="A61" i="41" s="1"/>
  <c r="A62" i="41" s="1"/>
  <c r="A63" i="41" s="1"/>
  <c r="A64" i="41" s="1"/>
  <c r="A65" i="41" s="1"/>
  <c r="A66" i="41" s="1"/>
  <c r="A67" i="41" s="1"/>
  <c r="A68" i="41" s="1"/>
  <c r="A69" i="41" s="1"/>
  <c r="E37" i="41"/>
  <c r="M26" i="201" l="1"/>
  <c r="K27" i="201" l="1"/>
  <c r="L27" i="201" s="1"/>
  <c r="B33" i="22"/>
  <c r="B32" i="22"/>
  <c r="B24" i="26"/>
  <c r="B23" i="26"/>
  <c r="M27" i="201" l="1"/>
  <c r="B24" i="25"/>
  <c r="B23" i="25"/>
  <c r="B36" i="23"/>
  <c r="B35" i="23"/>
  <c r="B24" i="13" l="1"/>
  <c r="B23" i="13"/>
  <c r="B25" i="8"/>
  <c r="B24" i="8"/>
  <c r="B36" i="7"/>
  <c r="B35" i="7"/>
  <c r="B36" i="4"/>
  <c r="B35" i="4"/>
  <c r="B37" i="9" l="1"/>
  <c r="B36" i="9"/>
  <c r="D39" i="42" l="1"/>
  <c r="E21" i="133" l="1"/>
  <c r="H30" i="42"/>
  <c r="H31" i="42" s="1"/>
  <c r="H32" i="42" s="1"/>
  <c r="H33" i="42" s="1"/>
  <c r="H34" i="42" s="1"/>
  <c r="H35" i="42" s="1"/>
  <c r="H36" i="42" s="1"/>
  <c r="H37" i="42" s="1"/>
  <c r="H38" i="42" s="1"/>
  <c r="H39" i="42" s="1"/>
  <c r="H40" i="42" s="1"/>
  <c r="H41" i="42" s="1"/>
  <c r="H42" i="42" s="1"/>
  <c r="H43" i="42" s="1"/>
  <c r="H44" i="42" s="1"/>
  <c r="H45" i="42" s="1"/>
  <c r="H46" i="42" s="1"/>
  <c r="H47" i="42" s="1"/>
  <c r="H48" i="42" s="1"/>
  <c r="H49" i="42" s="1"/>
  <c r="H50" i="42" s="1"/>
  <c r="H51" i="42" s="1"/>
  <c r="H52" i="42" s="1"/>
  <c r="H53" i="42" s="1"/>
  <c r="H54" i="42" s="1"/>
  <c r="H55" i="42" s="1"/>
  <c r="A30" i="42"/>
  <c r="A31" i="42" s="1"/>
  <c r="A32" i="42" s="1"/>
  <c r="A33" i="42" s="1"/>
  <c r="A34" i="42" s="1"/>
  <c r="A35" i="42" s="1"/>
  <c r="A36" i="42" s="1"/>
  <c r="A37" i="42" s="1"/>
  <c r="A38" i="42" s="1"/>
  <c r="A39" i="42" s="1"/>
  <c r="A40" i="42" s="1"/>
  <c r="A41" i="42" s="1"/>
  <c r="A42" i="42" s="1"/>
  <c r="A43" i="42" s="1"/>
  <c r="A44" i="42" s="1"/>
  <c r="A45" i="42" s="1"/>
  <c r="A46" i="42" s="1"/>
  <c r="A47" i="42" s="1"/>
  <c r="A48" i="42" s="1"/>
  <c r="A49" i="42" s="1"/>
  <c r="A50" i="42" s="1"/>
  <c r="A51" i="42" s="1"/>
  <c r="A52" i="42" s="1"/>
  <c r="A53" i="42" s="1"/>
  <c r="A54" i="42" s="1"/>
  <c r="A55" i="42" s="1"/>
  <c r="E14" i="42"/>
  <c r="E12" i="42"/>
  <c r="E11" i="42"/>
  <c r="E23" i="42"/>
  <c r="D24" i="183" l="1"/>
  <c r="D25" i="183" s="1"/>
  <c r="D26" i="183" s="1"/>
  <c r="D27" i="183" s="1"/>
  <c r="D28" i="183" s="1"/>
  <c r="D29" i="183" s="1"/>
  <c r="D30" i="183" s="1"/>
  <c r="D31" i="183" s="1"/>
  <c r="D32" i="183" s="1"/>
  <c r="D33" i="183" s="1"/>
  <c r="D34" i="183" s="1"/>
  <c r="A24" i="183"/>
  <c r="A25" i="183" s="1"/>
  <c r="A26" i="183" s="1"/>
  <c r="A27" i="183" s="1"/>
  <c r="A28" i="183" s="1"/>
  <c r="A29" i="183" s="1"/>
  <c r="A30" i="183" s="1"/>
  <c r="A31" i="183" s="1"/>
  <c r="A32" i="183" s="1"/>
  <c r="A33" i="183" s="1"/>
  <c r="A34" i="183" s="1"/>
  <c r="F80" i="82" l="1"/>
  <c r="E20" i="144"/>
  <c r="E50" i="185" l="1"/>
  <c r="E24" i="185" s="1"/>
  <c r="Y28" i="79" l="1"/>
  <c r="Y29" i="79" s="1"/>
  <c r="Y30" i="79" s="1"/>
  <c r="Y31" i="79" s="1"/>
  <c r="Y32" i="79" s="1"/>
  <c r="Y33" i="79" s="1"/>
  <c r="Y34" i="79" s="1"/>
  <c r="Y35" i="79" s="1"/>
  <c r="Y36" i="79" s="1"/>
  <c r="Y37" i="79" s="1"/>
  <c r="Y38" i="79" s="1"/>
  <c r="Y39" i="79" s="1"/>
  <c r="Y40" i="79" s="1"/>
  <c r="X28" i="79"/>
  <c r="P28" i="79"/>
  <c r="Q28" i="79"/>
  <c r="R28" i="79"/>
  <c r="M28" i="79"/>
  <c r="O28" i="79"/>
  <c r="B28" i="79"/>
  <c r="B29" i="79" s="1"/>
  <c r="B30" i="79" s="1"/>
  <c r="B31" i="79" s="1"/>
  <c r="B32" i="79" s="1"/>
  <c r="B33" i="79" s="1"/>
  <c r="B34" i="79" s="1"/>
  <c r="B35" i="79" s="1"/>
  <c r="B36" i="79" s="1"/>
  <c r="B37" i="79" s="1"/>
  <c r="B38" i="79" s="1"/>
  <c r="B39" i="79" s="1"/>
  <c r="B40" i="79" s="1"/>
  <c r="H60" i="197" l="1"/>
  <c r="A60" i="197"/>
  <c r="E55" i="197"/>
  <c r="E24" i="197" l="1"/>
  <c r="E58" i="41"/>
  <c r="E24" i="41" s="1"/>
  <c r="E14" i="196" l="1"/>
  <c r="D14" i="196"/>
  <c r="C14" i="196"/>
  <c r="F10" i="196" l="1"/>
  <c r="E17" i="196" l="1"/>
  <c r="D17" i="196"/>
  <c r="C17" i="196"/>
  <c r="E11" i="196"/>
  <c r="D11" i="196"/>
  <c r="C11" i="196"/>
  <c r="E46" i="42" l="1"/>
  <c r="E9" i="190"/>
  <c r="G11" i="190"/>
  <c r="G13" i="190"/>
  <c r="C15" i="190"/>
  <c r="C9" i="190"/>
  <c r="E15" i="190"/>
  <c r="E234" i="132"/>
  <c r="F47" i="49"/>
  <c r="G15" i="190" l="1"/>
  <c r="H51" i="40" l="1"/>
  <c r="A20" i="40"/>
  <c r="A21" i="40"/>
  <c r="A22" i="40"/>
  <c r="A23" i="40"/>
  <c r="A24" i="40"/>
  <c r="A25" i="40"/>
  <c r="A26" i="40" s="1"/>
  <c r="A27" i="40" s="1"/>
  <c r="A28" i="40" s="1"/>
  <c r="A29" i="40" s="1"/>
  <c r="A30" i="40" s="1"/>
  <c r="A31" i="40" s="1"/>
  <c r="A32" i="40" s="1"/>
  <c r="A33" i="40" s="1"/>
  <c r="A34" i="40" s="1"/>
  <c r="A35" i="40" s="1"/>
  <c r="A36" i="40" s="1"/>
  <c r="A37" i="40" s="1"/>
  <c r="A38" i="40" s="1"/>
  <c r="A39" i="40" s="1"/>
  <c r="A40" i="40" s="1"/>
  <c r="A41" i="40" s="1"/>
  <c r="A42" i="40" s="1"/>
  <c r="A43" i="40" s="1"/>
  <c r="A44" i="40" s="1"/>
  <c r="A45" i="40" s="1"/>
  <c r="A46" i="40" s="1"/>
  <c r="A47" i="40" s="1"/>
  <c r="A48" i="40" s="1"/>
  <c r="A49" i="40" s="1"/>
  <c r="A50" i="40" s="1"/>
  <c r="A51" i="40" s="1"/>
  <c r="A21" i="156"/>
  <c r="A20" i="156"/>
  <c r="I23" i="156"/>
  <c r="I24" i="156"/>
  <c r="I25" i="156" s="1"/>
  <c r="I26" i="156" s="1"/>
  <c r="I27" i="156" s="1"/>
  <c r="I28" i="156" s="1"/>
  <c r="I29" i="156" s="1"/>
  <c r="I30" i="156" s="1"/>
  <c r="I31" i="156" s="1"/>
  <c r="I32" i="156" s="1"/>
  <c r="I33" i="156" s="1"/>
  <c r="H31" i="156"/>
  <c r="J13" i="69"/>
  <c r="J14" i="69" s="1"/>
  <c r="J15" i="69" s="1"/>
  <c r="J16" i="69" s="1"/>
  <c r="J17" i="69" s="1"/>
  <c r="J18" i="69" s="1"/>
  <c r="J19" i="69" s="1"/>
  <c r="J20" i="69" s="1"/>
  <c r="J21" i="69" s="1"/>
  <c r="J22" i="69" s="1"/>
  <c r="J23" i="69" s="1"/>
  <c r="J24" i="69" s="1"/>
  <c r="J25" i="69" s="1"/>
  <c r="J26" i="69" s="1"/>
  <c r="J27" i="69" s="1"/>
  <c r="J28" i="69" s="1"/>
  <c r="J29" i="69" s="1"/>
  <c r="J30" i="69" s="1"/>
  <c r="J31" i="69" s="1"/>
  <c r="J32" i="69" s="1"/>
  <c r="J33" i="69" s="1"/>
  <c r="J34" i="69" s="1"/>
  <c r="J35" i="69" s="1"/>
  <c r="J36" i="69" s="1"/>
  <c r="J37" i="69" s="1"/>
  <c r="J38" i="69" s="1"/>
  <c r="J39" i="69" s="1"/>
  <c r="J40" i="69" s="1"/>
  <c r="J41" i="69" s="1"/>
  <c r="J42" i="69" s="1"/>
  <c r="J43" i="69" s="1"/>
  <c r="J44" i="69" s="1"/>
  <c r="J45" i="69" s="1"/>
  <c r="J46" i="69" s="1"/>
  <c r="A14" i="69"/>
  <c r="A15" i="69" s="1"/>
  <c r="A16" i="69" s="1"/>
  <c r="A17" i="69" s="1"/>
  <c r="A18" i="69" s="1"/>
  <c r="A19" i="69" s="1"/>
  <c r="A20" i="69" s="1"/>
  <c r="A21" i="69" s="1"/>
  <c r="A22" i="69" s="1"/>
  <c r="A23" i="69" s="1"/>
  <c r="A24" i="69" s="1"/>
  <c r="A25" i="69" s="1"/>
  <c r="A26" i="69" s="1"/>
  <c r="A27" i="69" s="1"/>
  <c r="A28" i="69" s="1"/>
  <c r="A29" i="69" s="1"/>
  <c r="A30" i="69" s="1"/>
  <c r="A31" i="69" s="1"/>
  <c r="A32" i="69" s="1"/>
  <c r="A33" i="69" s="1"/>
  <c r="A34" i="69" s="1"/>
  <c r="A35" i="69" s="1"/>
  <c r="A36" i="69" s="1"/>
  <c r="A37" i="69" s="1"/>
  <c r="A38" i="69" s="1"/>
  <c r="A39" i="69" s="1"/>
  <c r="A40" i="69" s="1"/>
  <c r="A41" i="69" s="1"/>
  <c r="A42" i="69" s="1"/>
  <c r="A43" i="69" s="1"/>
  <c r="A44" i="69" s="1"/>
  <c r="A45" i="69" s="1"/>
  <c r="A46" i="69" s="1"/>
  <c r="E57" i="197" l="1"/>
  <c r="E41" i="197"/>
  <c r="D41" i="197"/>
  <c r="F39" i="197"/>
  <c r="F38" i="197"/>
  <c r="F37" i="197"/>
  <c r="F36" i="197"/>
  <c r="F35" i="197"/>
  <c r="F34" i="197"/>
  <c r="F33" i="197"/>
  <c r="F32" i="197"/>
  <c r="F31" i="197"/>
  <c r="F30" i="197"/>
  <c r="D27" i="197"/>
  <c r="F25" i="197"/>
  <c r="F23" i="197"/>
  <c r="F22" i="197"/>
  <c r="F21" i="197"/>
  <c r="F20" i="197"/>
  <c r="E19" i="197"/>
  <c r="F19" i="197" s="1"/>
  <c r="F18" i="197"/>
  <c r="F17" i="197"/>
  <c r="F16" i="197"/>
  <c r="E15" i="197"/>
  <c r="F15" i="197" s="1"/>
  <c r="F14" i="197"/>
  <c r="F13" i="197"/>
  <c r="F12" i="197"/>
  <c r="A12" i="197"/>
  <c r="A13" i="197" s="1"/>
  <c r="A14" i="197" s="1"/>
  <c r="A15" i="197" s="1"/>
  <c r="A16" i="197" s="1"/>
  <c r="A17" i="197" s="1"/>
  <c r="A18" i="197" s="1"/>
  <c r="A19" i="197" s="1"/>
  <c r="A20" i="197" s="1"/>
  <c r="A21" i="197" s="1"/>
  <c r="A22" i="197" s="1"/>
  <c r="A23" i="197" s="1"/>
  <c r="A24" i="197" s="1"/>
  <c r="A25" i="197" s="1"/>
  <c r="H11" i="197"/>
  <c r="H12" i="197" s="1"/>
  <c r="H13" i="197" s="1"/>
  <c r="H14" i="197" s="1"/>
  <c r="H15" i="197" s="1"/>
  <c r="H16" i="197" s="1"/>
  <c r="H17" i="197" s="1"/>
  <c r="H18" i="197" s="1"/>
  <c r="H19" i="197" s="1"/>
  <c r="H20" i="197" s="1"/>
  <c r="H21" i="197" s="1"/>
  <c r="H22" i="197" s="1"/>
  <c r="H23" i="197" s="1"/>
  <c r="H24" i="197" s="1"/>
  <c r="H25" i="197" s="1"/>
  <c r="H26" i="197" s="1"/>
  <c r="H27" i="197" s="1"/>
  <c r="H28" i="197" s="1"/>
  <c r="H29" i="197" s="1"/>
  <c r="H30" i="197" s="1"/>
  <c r="H31" i="197" s="1"/>
  <c r="H32" i="197" s="1"/>
  <c r="H33" i="197" s="1"/>
  <c r="H34" i="197" s="1"/>
  <c r="H35" i="197" s="1"/>
  <c r="H36" i="197" s="1"/>
  <c r="H37" i="197" s="1"/>
  <c r="H38" i="197" s="1"/>
  <c r="H39" i="197" s="1"/>
  <c r="H40" i="197" s="1"/>
  <c r="H41" i="197" s="1"/>
  <c r="H42" i="197" s="1"/>
  <c r="H43" i="197" s="1"/>
  <c r="H44" i="197" s="1"/>
  <c r="H45" i="197" s="1"/>
  <c r="H46" i="197" s="1"/>
  <c r="H47" i="197" s="1"/>
  <c r="H48" i="197" s="1"/>
  <c r="H49" i="197" s="1"/>
  <c r="H50" i="197" s="1"/>
  <c r="H51" i="197" s="1"/>
  <c r="H52" i="197" s="1"/>
  <c r="H53" i="197" s="1"/>
  <c r="H54" i="197" s="1"/>
  <c r="H55" i="197" s="1"/>
  <c r="H56" i="197" s="1"/>
  <c r="H57" i="197" s="1"/>
  <c r="H58" i="197" s="1"/>
  <c r="H59" i="197" s="1"/>
  <c r="E11" i="197"/>
  <c r="F11" i="197" s="1"/>
  <c r="F24" i="197" l="1"/>
  <c r="F27" i="197" s="1"/>
  <c r="E27" i="197"/>
  <c r="E43" i="197" s="1"/>
  <c r="F41" i="197"/>
  <c r="D43" i="197"/>
  <c r="A26" i="197"/>
  <c r="A27" i="197" s="1"/>
  <c r="G27" i="197"/>
  <c r="F43" i="197" l="1"/>
  <c r="A28" i="197"/>
  <c r="A29" i="197" s="1"/>
  <c r="A30" i="197" s="1"/>
  <c r="A31" i="197" l="1"/>
  <c r="A32" i="197" s="1"/>
  <c r="A33" i="197" s="1"/>
  <c r="A34" i="197" s="1"/>
  <c r="A35" i="197" s="1"/>
  <c r="A36" i="197" s="1"/>
  <c r="A37" i="197" s="1"/>
  <c r="A38" i="197" s="1"/>
  <c r="A39" i="197" s="1"/>
  <c r="A40" i="197" s="1"/>
  <c r="A41" i="197" s="1"/>
  <c r="A42" i="197" l="1"/>
  <c r="A43" i="197" s="1"/>
  <c r="A44" i="197" s="1"/>
  <c r="A45" i="197" s="1"/>
  <c r="A46" i="197" s="1"/>
  <c r="A47" i="197" s="1"/>
  <c r="A48" i="197" s="1"/>
  <c r="A49" i="197" s="1"/>
  <c r="A50" i="197" s="1"/>
  <c r="A51" i="197" s="1"/>
  <c r="A52" i="197" s="1"/>
  <c r="A53" i="197" s="1"/>
  <c r="A54" i="197" s="1"/>
  <c r="A55" i="197" s="1"/>
  <c r="A56" i="197" s="1"/>
  <c r="A57" i="197" s="1"/>
  <c r="A58" i="197" s="1"/>
  <c r="A59" i="197" s="1"/>
  <c r="G43" i="197"/>
  <c r="G41" i="197"/>
  <c r="E13" i="71" l="1"/>
  <c r="E49" i="42"/>
  <c r="G11" i="49" l="1"/>
  <c r="G12" i="49" s="1"/>
  <c r="G13" i="49" s="1"/>
  <c r="A12" i="49"/>
  <c r="A13" i="49" s="1"/>
  <c r="G31" i="156" l="1"/>
  <c r="G26" i="156"/>
  <c r="E38" i="132" l="1"/>
  <c r="E11" i="41" l="1"/>
  <c r="H26" i="45"/>
  <c r="H27" i="45" s="1"/>
  <c r="H28" i="45" s="1"/>
  <c r="H29" i="45" s="1"/>
  <c r="H30" i="45" s="1"/>
  <c r="H31" i="45" s="1"/>
  <c r="H32" i="45" s="1"/>
  <c r="H33" i="45" s="1"/>
  <c r="H34" i="45" s="1"/>
  <c r="A26" i="45"/>
  <c r="A27" i="45" s="1"/>
  <c r="A28" i="45" s="1"/>
  <c r="A29" i="45" s="1"/>
  <c r="A30" i="45" s="1"/>
  <c r="A31" i="45" s="1"/>
  <c r="A32" i="45" s="1"/>
  <c r="A33" i="45" s="1"/>
  <c r="A34" i="45" s="1"/>
  <c r="F11" i="196" l="1"/>
  <c r="F12" i="196" s="1"/>
  <c r="F13" i="196" s="1"/>
  <c r="F14" i="196" s="1"/>
  <c r="F15" i="196" s="1"/>
  <c r="F16" i="196" s="1"/>
  <c r="F17" i="196" s="1"/>
  <c r="F18" i="196" s="1"/>
  <c r="F19" i="196" s="1"/>
  <c r="F20" i="196" s="1"/>
  <c r="F21" i="196" s="1"/>
  <c r="A10" i="196"/>
  <c r="A11" i="196" s="1"/>
  <c r="A12" i="196" s="1"/>
  <c r="A13" i="196" s="1"/>
  <c r="A14" i="196" s="1"/>
  <c r="A15" i="196" s="1"/>
  <c r="A16" i="196" s="1"/>
  <c r="A17" i="196" s="1"/>
  <c r="A18" i="196" s="1"/>
  <c r="A19" i="196" s="1"/>
  <c r="A20" i="196" s="1"/>
  <c r="A21" i="196" s="1"/>
  <c r="C19" i="196" l="1"/>
  <c r="D19" i="196"/>
  <c r="E19" i="196"/>
  <c r="E21" i="196" l="1"/>
  <c r="G13" i="69" s="1"/>
  <c r="I29" i="192" l="1"/>
  <c r="G15" i="192"/>
  <c r="E15" i="192"/>
  <c r="G13" i="192"/>
  <c r="E13" i="192"/>
  <c r="L12" i="192"/>
  <c r="L13" i="192" s="1"/>
  <c r="L14" i="192" s="1"/>
  <c r="L15" i="192" s="1"/>
  <c r="L16" i="192" s="1"/>
  <c r="L17" i="192" s="1"/>
  <c r="L18" i="192" s="1"/>
  <c r="L19" i="192" s="1"/>
  <c r="L20" i="192" s="1"/>
  <c r="L21" i="192" s="1"/>
  <c r="L22" i="192" s="1"/>
  <c r="L23" i="192" s="1"/>
  <c r="L24" i="192" s="1"/>
  <c r="L25" i="192" s="1"/>
  <c r="L26" i="192" s="1"/>
  <c r="L27" i="192" s="1"/>
  <c r="L28" i="192" s="1"/>
  <c r="L29" i="192" s="1"/>
  <c r="A12" i="192"/>
  <c r="A13" i="192" s="1"/>
  <c r="A14" i="192" s="1"/>
  <c r="A15" i="192" s="1"/>
  <c r="A16" i="192" s="1"/>
  <c r="A17" i="192" s="1"/>
  <c r="A18" i="192" s="1"/>
  <c r="A19" i="192" s="1"/>
  <c r="A20" i="192" s="1"/>
  <c r="A21" i="192" s="1"/>
  <c r="A22" i="192" s="1"/>
  <c r="A23" i="192" s="1"/>
  <c r="A24" i="192" s="1"/>
  <c r="A25" i="192" s="1"/>
  <c r="A26" i="192" s="1"/>
  <c r="A27" i="192" s="1"/>
  <c r="A28" i="192" s="1"/>
  <c r="A29" i="192" s="1"/>
  <c r="L11" i="192"/>
  <c r="G9" i="192"/>
  <c r="E9" i="192"/>
  <c r="B5" i="192"/>
  <c r="A13" i="195"/>
  <c r="A14" i="195" s="1"/>
  <c r="A15" i="195" s="1"/>
  <c r="A16" i="195" s="1"/>
  <c r="A17" i="195" s="1"/>
  <c r="A18" i="195" s="1"/>
  <c r="A19" i="195" s="1"/>
  <c r="A20" i="195" s="1"/>
  <c r="A21" i="195" s="1"/>
  <c r="A22" i="195" s="1"/>
  <c r="H12" i="195"/>
  <c r="H13" i="195" s="1"/>
  <c r="H14" i="195" s="1"/>
  <c r="H15" i="195" s="1"/>
  <c r="H16" i="195" s="1"/>
  <c r="H17" i="195" s="1"/>
  <c r="H18" i="195" s="1"/>
  <c r="H19" i="195" s="1"/>
  <c r="H20" i="195" s="1"/>
  <c r="H21" i="195" s="1"/>
  <c r="H22" i="195" s="1"/>
  <c r="A12" i="195"/>
  <c r="H11" i="195"/>
  <c r="B5" i="195"/>
  <c r="E33" i="194"/>
  <c r="E31" i="194"/>
  <c r="E29" i="194"/>
  <c r="E15" i="194"/>
  <c r="E13" i="194"/>
  <c r="A12" i="194"/>
  <c r="A13" i="194" s="1"/>
  <c r="A14" i="194" s="1"/>
  <c r="A15" i="194" s="1"/>
  <c r="A16" i="194" s="1"/>
  <c r="A17" i="194" s="1"/>
  <c r="A18" i="194" s="1"/>
  <c r="A19" i="194" s="1"/>
  <c r="A20" i="194" s="1"/>
  <c r="A21" i="194" s="1"/>
  <c r="A22" i="194" s="1"/>
  <c r="A23" i="194" s="1"/>
  <c r="A24" i="194" s="1"/>
  <c r="A25" i="194" s="1"/>
  <c r="A26" i="194" s="1"/>
  <c r="A27" i="194" s="1"/>
  <c r="A28" i="194" s="1"/>
  <c r="A29" i="194" s="1"/>
  <c r="A30" i="194" s="1"/>
  <c r="A31" i="194" s="1"/>
  <c r="A32" i="194" s="1"/>
  <c r="A33" i="194" s="1"/>
  <c r="H11" i="194"/>
  <c r="H12" i="194" s="1"/>
  <c r="H13" i="194" s="1"/>
  <c r="H14" i="194" s="1"/>
  <c r="H15" i="194" s="1"/>
  <c r="H16" i="194" s="1"/>
  <c r="H17" i="194" s="1"/>
  <c r="H18" i="194" s="1"/>
  <c r="H19" i="194" s="1"/>
  <c r="H20" i="194" s="1"/>
  <c r="H21" i="194" s="1"/>
  <c r="H22" i="194" s="1"/>
  <c r="H23" i="194" s="1"/>
  <c r="H24" i="194" s="1"/>
  <c r="H25" i="194" s="1"/>
  <c r="H26" i="194" s="1"/>
  <c r="H27" i="194" s="1"/>
  <c r="H28" i="194" s="1"/>
  <c r="H29" i="194" s="1"/>
  <c r="H30" i="194" s="1"/>
  <c r="H31" i="194" s="1"/>
  <c r="H32" i="194" s="1"/>
  <c r="H33" i="194" s="1"/>
  <c r="B5" i="194"/>
  <c r="E23" i="193"/>
  <c r="E25" i="193" s="1"/>
  <c r="A14" i="193"/>
  <c r="A15" i="193" s="1"/>
  <c r="A16" i="193" s="1"/>
  <c r="A17" i="193" s="1"/>
  <c r="A18" i="193" s="1"/>
  <c r="A19" i="193" s="1"/>
  <c r="A20" i="193" s="1"/>
  <c r="A21" i="193" s="1"/>
  <c r="A22" i="193" s="1"/>
  <c r="A23" i="193" s="1"/>
  <c r="A24" i="193" s="1"/>
  <c r="A25" i="193" s="1"/>
  <c r="A13" i="193"/>
  <c r="H12" i="193"/>
  <c r="H13" i="193" s="1"/>
  <c r="H14" i="193" s="1"/>
  <c r="H15" i="193" s="1"/>
  <c r="H16" i="193" s="1"/>
  <c r="H17" i="193" s="1"/>
  <c r="H18" i="193" s="1"/>
  <c r="H19" i="193" s="1"/>
  <c r="H20" i="193" s="1"/>
  <c r="H21" i="193" s="1"/>
  <c r="H22" i="193" s="1"/>
  <c r="H23" i="193" s="1"/>
  <c r="H24" i="193" s="1"/>
  <c r="H25" i="193" s="1"/>
  <c r="A12" i="193"/>
  <c r="H11" i="193"/>
  <c r="B5" i="193"/>
  <c r="G27" i="191"/>
  <c r="E27" i="191"/>
  <c r="G25" i="191"/>
  <c r="E25" i="191"/>
  <c r="I23" i="191"/>
  <c r="G19" i="191"/>
  <c r="E19" i="191"/>
  <c r="I15" i="191"/>
  <c r="L14" i="191"/>
  <c r="L15" i="191" s="1"/>
  <c r="L16" i="191" s="1"/>
  <c r="L17" i="191" s="1"/>
  <c r="L18" i="191" s="1"/>
  <c r="L19" i="191" s="1"/>
  <c r="L20" i="191" s="1"/>
  <c r="L21" i="191" s="1"/>
  <c r="L22" i="191" s="1"/>
  <c r="L23" i="191" s="1"/>
  <c r="L24" i="191" s="1"/>
  <c r="L25" i="191" s="1"/>
  <c r="L26" i="191" s="1"/>
  <c r="L27" i="191" s="1"/>
  <c r="L28" i="191" s="1"/>
  <c r="L29" i="191" s="1"/>
  <c r="L30" i="191" s="1"/>
  <c r="L31" i="191" s="1"/>
  <c r="L32" i="191" s="1"/>
  <c r="L33" i="191" s="1"/>
  <c r="L34" i="191" s="1"/>
  <c r="L35" i="191" s="1"/>
  <c r="L36" i="191" s="1"/>
  <c r="L37" i="191" s="1"/>
  <c r="L38" i="191" s="1"/>
  <c r="L39" i="191" s="1"/>
  <c r="L40" i="191" s="1"/>
  <c r="L41" i="191" s="1"/>
  <c r="L42" i="191" s="1"/>
  <c r="L43" i="191" s="1"/>
  <c r="L44" i="191" s="1"/>
  <c r="L45" i="191" s="1"/>
  <c r="L13" i="191"/>
  <c r="I13" i="191"/>
  <c r="A13" i="191"/>
  <c r="A14" i="191" s="1"/>
  <c r="A15" i="191" s="1"/>
  <c r="A16" i="191" s="1"/>
  <c r="A17" i="191" s="1"/>
  <c r="A18" i="191" s="1"/>
  <c r="A19" i="191" s="1"/>
  <c r="A20" i="191" s="1"/>
  <c r="A21" i="191" s="1"/>
  <c r="A22" i="191" s="1"/>
  <c r="A23" i="191" s="1"/>
  <c r="A24" i="191" s="1"/>
  <c r="A25" i="191" s="1"/>
  <c r="A26" i="191" s="1"/>
  <c r="A27" i="191" s="1"/>
  <c r="A28" i="191" s="1"/>
  <c r="A29" i="191" s="1"/>
  <c r="A30" i="191" s="1"/>
  <c r="A31" i="191" s="1"/>
  <c r="A32" i="191" s="1"/>
  <c r="A33" i="191" s="1"/>
  <c r="A34" i="191" s="1"/>
  <c r="A35" i="191" s="1"/>
  <c r="A36" i="191" s="1"/>
  <c r="A37" i="191" s="1"/>
  <c r="A38" i="191" s="1"/>
  <c r="A39" i="191" s="1"/>
  <c r="A40" i="191" s="1"/>
  <c r="A41" i="191" s="1"/>
  <c r="A42" i="191" s="1"/>
  <c r="A43" i="191" s="1"/>
  <c r="A44" i="191" s="1"/>
  <c r="A45" i="191" s="1"/>
  <c r="L12" i="191"/>
  <c r="A12" i="191"/>
  <c r="L11" i="191"/>
  <c r="E28" i="189" l="1"/>
  <c r="E23" i="189"/>
  <c r="E18" i="189"/>
  <c r="E13" i="189"/>
  <c r="E38" i="184"/>
  <c r="E19" i="194"/>
  <c r="E23" i="194" s="1"/>
  <c r="I19" i="192"/>
  <c r="E20" i="195"/>
  <c r="E22" i="195" s="1"/>
  <c r="E24" i="144" s="1"/>
  <c r="I33" i="191"/>
  <c r="I15" i="192"/>
  <c r="I13" i="192"/>
  <c r="I27" i="191"/>
  <c r="I39" i="191" s="1"/>
  <c r="E46" i="184" s="1"/>
  <c r="I25" i="191"/>
  <c r="I19" i="191"/>
  <c r="I37" i="191" l="1"/>
  <c r="E166" i="144" s="1"/>
  <c r="E167" i="144"/>
  <c r="I21" i="192"/>
  <c r="E173" i="144" s="1"/>
  <c r="I23" i="192"/>
  <c r="E174" i="144" s="1"/>
  <c r="E21" i="194"/>
  <c r="D61" i="140"/>
  <c r="E49" i="140" s="1"/>
  <c r="C59" i="140"/>
  <c r="E51" i="140" l="1"/>
  <c r="E53" i="140"/>
  <c r="E55" i="140"/>
  <c r="E56" i="140"/>
  <c r="E57" i="140"/>
  <c r="E59" i="140"/>
  <c r="E50" i="140"/>
  <c r="E52" i="140"/>
  <c r="E54" i="140"/>
  <c r="E58" i="140"/>
  <c r="E60" i="140"/>
  <c r="C52" i="140"/>
  <c r="C55" i="140"/>
  <c r="C60" i="140"/>
  <c r="C53" i="140"/>
  <c r="C54" i="140"/>
  <c r="C56" i="140"/>
  <c r="C57" i="140"/>
  <c r="C50" i="140"/>
  <c r="C58" i="140"/>
  <c r="C51" i="140"/>
  <c r="E61" i="140" l="1"/>
  <c r="H20" i="137"/>
  <c r="H19" i="137"/>
  <c r="A19" i="137"/>
  <c r="A20" i="137" s="1"/>
  <c r="A12" i="190"/>
  <c r="A13" i="190" s="1"/>
  <c r="A14" i="190" s="1"/>
  <c r="A15" i="190" s="1"/>
  <c r="I11" i="190"/>
  <c r="I12" i="190" s="1"/>
  <c r="I13" i="190" s="1"/>
  <c r="I14" i="190" s="1"/>
  <c r="I15" i="190" s="1"/>
  <c r="B5" i="190"/>
  <c r="I13" i="156"/>
  <c r="I14" i="156" s="1"/>
  <c r="I15" i="156" s="1"/>
  <c r="I16" i="156" s="1"/>
  <c r="I17" i="156" s="1"/>
  <c r="I18" i="156" s="1"/>
  <c r="I19" i="156" s="1"/>
  <c r="I20" i="156" s="1"/>
  <c r="I21" i="156" s="1"/>
  <c r="I22" i="156" s="1"/>
  <c r="A13" i="156"/>
  <c r="A14" i="156" s="1"/>
  <c r="A15" i="156" s="1"/>
  <c r="A16" i="156" s="1"/>
  <c r="A17" i="156" s="1"/>
  <c r="A18" i="156" s="1"/>
  <c r="A19" i="156" s="1"/>
  <c r="A22" i="156" s="1"/>
  <c r="E28" i="140" l="1"/>
  <c r="E30" i="140"/>
  <c r="E32" i="140"/>
  <c r="E33" i="140"/>
  <c r="E31" i="140"/>
  <c r="E29" i="140"/>
  <c r="E34" i="140"/>
  <c r="E20" i="137"/>
  <c r="E137" i="132" s="1"/>
  <c r="M19" i="158" l="1"/>
  <c r="M17" i="158"/>
  <c r="M15" i="158"/>
  <c r="M13" i="158"/>
  <c r="M11" i="158"/>
  <c r="A12" i="158"/>
  <c r="A13" i="158" s="1"/>
  <c r="A14" i="158" s="1"/>
  <c r="A15" i="158" s="1"/>
  <c r="A16" i="158" s="1"/>
  <c r="A17" i="158" s="1"/>
  <c r="A18" i="158" s="1"/>
  <c r="A21" i="158" s="1"/>
  <c r="O12" i="158"/>
  <c r="O13" i="158" s="1"/>
  <c r="O14" i="158" s="1"/>
  <c r="O15" i="158" s="1"/>
  <c r="O16" i="158" s="1"/>
  <c r="O17" i="158" s="1"/>
  <c r="O18" i="158" s="1"/>
  <c r="O19" i="158" s="1"/>
  <c r="O20" i="158" s="1"/>
  <c r="O21" i="158" s="1"/>
  <c r="C21" i="158"/>
  <c r="K21" i="158" l="1"/>
  <c r="I21" i="158"/>
  <c r="G21" i="158"/>
  <c r="E21" i="158"/>
  <c r="C18" i="156"/>
  <c r="C14" i="156"/>
  <c r="C12" i="156"/>
  <c r="C20" i="156"/>
  <c r="C16" i="156"/>
  <c r="M21" i="158"/>
  <c r="X18" i="79"/>
  <c r="C22" i="156" l="1"/>
  <c r="F15" i="82"/>
  <c r="F18" i="82" l="1"/>
  <c r="H50" i="40" l="1"/>
  <c r="E9" i="189"/>
  <c r="C9" i="189"/>
  <c r="E9" i="188"/>
  <c r="C9" i="188"/>
  <c r="E133" i="144"/>
  <c r="C39" i="189"/>
  <c r="C13" i="189" s="1"/>
  <c r="G27" i="189"/>
  <c r="G22" i="189"/>
  <c r="G17" i="189"/>
  <c r="G12" i="189"/>
  <c r="A12" i="189"/>
  <c r="A13" i="189" s="1"/>
  <c r="A14" i="189" s="1"/>
  <c r="A15" i="189" s="1"/>
  <c r="A16" i="189" s="1"/>
  <c r="A17" i="189" s="1"/>
  <c r="A18" i="189" s="1"/>
  <c r="A19" i="189" s="1"/>
  <c r="A20" i="189" s="1"/>
  <c r="A21" i="189" s="1"/>
  <c r="A22" i="189" s="1"/>
  <c r="A23" i="189" s="1"/>
  <c r="A24" i="189" s="1"/>
  <c r="A25" i="189" s="1"/>
  <c r="A26" i="189" s="1"/>
  <c r="A27" i="189" s="1"/>
  <c r="A28" i="189" s="1"/>
  <c r="A29" i="189" s="1"/>
  <c r="I11" i="189"/>
  <c r="I12" i="189" s="1"/>
  <c r="I13" i="189" s="1"/>
  <c r="I14" i="189" s="1"/>
  <c r="I15" i="189" s="1"/>
  <c r="I16" i="189" s="1"/>
  <c r="I17" i="189" s="1"/>
  <c r="I18" i="189" s="1"/>
  <c r="I19" i="189" s="1"/>
  <c r="I20" i="189" s="1"/>
  <c r="I21" i="189" s="1"/>
  <c r="I22" i="189" s="1"/>
  <c r="I23" i="189" s="1"/>
  <c r="I24" i="189" s="1"/>
  <c r="I25" i="189" s="1"/>
  <c r="I26" i="189" s="1"/>
  <c r="I27" i="189" s="1"/>
  <c r="I28" i="189" s="1"/>
  <c r="I29" i="189" s="1"/>
  <c r="A12" i="188"/>
  <c r="A13" i="188" s="1"/>
  <c r="I11" i="188"/>
  <c r="A11" i="187"/>
  <c r="A12" i="187" s="1"/>
  <c r="A13" i="187" s="1"/>
  <c r="A14" i="187" s="1"/>
  <c r="A15" i="187" s="1"/>
  <c r="A16" i="187" s="1"/>
  <c r="A17" i="187" s="1"/>
  <c r="A18" i="187" s="1"/>
  <c r="H10" i="187"/>
  <c r="H11" i="187" s="1"/>
  <c r="H12" i="187" s="1"/>
  <c r="H13" i="187" s="1"/>
  <c r="H14" i="187" s="1"/>
  <c r="H15" i="187" s="1"/>
  <c r="H16" i="187" s="1"/>
  <c r="H17" i="187" s="1"/>
  <c r="H18" i="187" s="1"/>
  <c r="E34" i="186"/>
  <c r="A13" i="186"/>
  <c r="A14" i="186" s="1"/>
  <c r="A15" i="186" s="1"/>
  <c r="A16" i="186" s="1"/>
  <c r="A17" i="186" s="1"/>
  <c r="A18" i="186" s="1"/>
  <c r="A19" i="186" s="1"/>
  <c r="A20" i="186" s="1"/>
  <c r="A21" i="186" s="1"/>
  <c r="A22" i="186" s="1"/>
  <c r="A23" i="186" s="1"/>
  <c r="A24" i="186" s="1"/>
  <c r="A25" i="186" s="1"/>
  <c r="A26" i="186" s="1"/>
  <c r="A27" i="186" s="1"/>
  <c r="A28" i="186" s="1"/>
  <c r="A29" i="186" s="1"/>
  <c r="A30" i="186" s="1"/>
  <c r="A31" i="186" s="1"/>
  <c r="A32" i="186" s="1"/>
  <c r="A33" i="186" s="1"/>
  <c r="A34" i="186" s="1"/>
  <c r="A35" i="186" s="1"/>
  <c r="A36" i="186" s="1"/>
  <c r="A37" i="186" s="1"/>
  <c r="A38" i="186" s="1"/>
  <c r="A39" i="186" s="1"/>
  <c r="A40" i="186" s="1"/>
  <c r="A41" i="186" s="1"/>
  <c r="A42" i="186" s="1"/>
  <c r="A43" i="186" s="1"/>
  <c r="A44" i="186" s="1"/>
  <c r="A12" i="186"/>
  <c r="J11" i="186"/>
  <c r="J12" i="186" s="1"/>
  <c r="J13" i="186" s="1"/>
  <c r="J14" i="186" s="1"/>
  <c r="J15" i="186" s="1"/>
  <c r="J16" i="186" s="1"/>
  <c r="J17" i="186" s="1"/>
  <c r="J18" i="186" s="1"/>
  <c r="J19" i="186" s="1"/>
  <c r="J20" i="186" s="1"/>
  <c r="J21" i="186" s="1"/>
  <c r="J22" i="186" s="1"/>
  <c r="J23" i="186" s="1"/>
  <c r="J24" i="186" s="1"/>
  <c r="J25" i="186" s="1"/>
  <c r="J26" i="186" s="1"/>
  <c r="J27" i="186" s="1"/>
  <c r="J28" i="186" s="1"/>
  <c r="J29" i="186" s="1"/>
  <c r="J30" i="186" s="1"/>
  <c r="J31" i="186" s="1"/>
  <c r="J32" i="186" s="1"/>
  <c r="J33" i="186" s="1"/>
  <c r="J34" i="186" s="1"/>
  <c r="J35" i="186" s="1"/>
  <c r="J36" i="186" s="1"/>
  <c r="J37" i="186" s="1"/>
  <c r="J38" i="186" s="1"/>
  <c r="J39" i="186" s="1"/>
  <c r="J40" i="186" s="1"/>
  <c r="J41" i="186" s="1"/>
  <c r="J42" i="186" s="1"/>
  <c r="J43" i="186" s="1"/>
  <c r="J44" i="186" s="1"/>
  <c r="E33" i="184"/>
  <c r="E32" i="184"/>
  <c r="E31" i="184"/>
  <c r="E30" i="184"/>
  <c r="E28" i="184"/>
  <c r="E27" i="184"/>
  <c r="E26" i="184"/>
  <c r="E24" i="184"/>
  <c r="E47" i="185"/>
  <c r="E22" i="185" s="1"/>
  <c r="F22" i="185" s="1"/>
  <c r="E42" i="185"/>
  <c r="E19" i="185" s="1"/>
  <c r="F19" i="185" s="1"/>
  <c r="E34" i="185"/>
  <c r="D26" i="185"/>
  <c r="E22" i="184" s="1"/>
  <c r="F24" i="185"/>
  <c r="F23" i="185"/>
  <c r="E21" i="185"/>
  <c r="F21" i="185" s="1"/>
  <c r="E20" i="185"/>
  <c r="F20" i="185" s="1"/>
  <c r="E18" i="185"/>
  <c r="F18" i="185" s="1"/>
  <c r="E17" i="185"/>
  <c r="F17" i="185" s="1"/>
  <c r="F15" i="185"/>
  <c r="E36" i="184" s="1"/>
  <c r="E14" i="185"/>
  <c r="F14" i="185" s="1"/>
  <c r="F13" i="185"/>
  <c r="E12" i="185"/>
  <c r="F12" i="185" s="1"/>
  <c r="A12" i="185"/>
  <c r="A13" i="185" s="1"/>
  <c r="A14" i="185" s="1"/>
  <c r="A15" i="185" s="1"/>
  <c r="A16" i="185" s="1"/>
  <c r="H11" i="185"/>
  <c r="H12" i="185" s="1"/>
  <c r="H13" i="185" s="1"/>
  <c r="H14" i="185" s="1"/>
  <c r="H15" i="185" s="1"/>
  <c r="H16" i="185" s="1"/>
  <c r="F11" i="185"/>
  <c r="H13" i="184"/>
  <c r="H14" i="184" s="1"/>
  <c r="H15" i="184" s="1"/>
  <c r="H16" i="184" s="1"/>
  <c r="H17" i="184" s="1"/>
  <c r="H18" i="184" s="1"/>
  <c r="H19" i="184" s="1"/>
  <c r="H20" i="184" s="1"/>
  <c r="H21" i="184" s="1"/>
  <c r="H22" i="184" s="1"/>
  <c r="H23" i="184" s="1"/>
  <c r="H24" i="184" s="1"/>
  <c r="H25" i="184" s="1"/>
  <c r="H26" i="184" s="1"/>
  <c r="H27" i="184" s="1"/>
  <c r="H28" i="184" s="1"/>
  <c r="H29" i="184" s="1"/>
  <c r="H30" i="184" s="1"/>
  <c r="H31" i="184" s="1"/>
  <c r="H32" i="184" s="1"/>
  <c r="H33" i="184" s="1"/>
  <c r="H34" i="184" s="1"/>
  <c r="H35" i="184" s="1"/>
  <c r="H36" i="184" s="1"/>
  <c r="H37" i="184" s="1"/>
  <c r="H38" i="184" s="1"/>
  <c r="H39" i="184" s="1"/>
  <c r="H40" i="184" s="1"/>
  <c r="H41" i="184" s="1"/>
  <c r="H42" i="184" s="1"/>
  <c r="H43" i="184" s="1"/>
  <c r="H44" i="184" s="1"/>
  <c r="H45" i="184" s="1"/>
  <c r="H46" i="184" s="1"/>
  <c r="H47" i="184" s="1"/>
  <c r="H48" i="184" s="1"/>
  <c r="H49" i="184" s="1"/>
  <c r="H50" i="184" s="1"/>
  <c r="H51" i="184" s="1"/>
  <c r="H52" i="184" s="1"/>
  <c r="H53" i="184" s="1"/>
  <c r="H54" i="184" s="1"/>
  <c r="H55" i="184" s="1"/>
  <c r="H56" i="184" s="1"/>
  <c r="H57" i="184" s="1"/>
  <c r="H58" i="184" s="1"/>
  <c r="H59" i="184" s="1"/>
  <c r="H60" i="184" s="1"/>
  <c r="H12" i="184"/>
  <c r="A12" i="184"/>
  <c r="A13" i="184" s="1"/>
  <c r="A14" i="184" s="1"/>
  <c r="A15" i="184" s="1"/>
  <c r="A16" i="184" s="1"/>
  <c r="A17" i="184" s="1"/>
  <c r="A18" i="184" s="1"/>
  <c r="A19" i="184" s="1"/>
  <c r="A20" i="184" s="1"/>
  <c r="A21" i="184" s="1"/>
  <c r="A22" i="184" s="1"/>
  <c r="A23" i="184" s="1"/>
  <c r="A24" i="184" s="1"/>
  <c r="A25" i="184" s="1"/>
  <c r="A26" i="184" s="1"/>
  <c r="A27" i="184" s="1"/>
  <c r="A28" i="184" s="1"/>
  <c r="A29" i="184" s="1"/>
  <c r="A30" i="184" s="1"/>
  <c r="A31" i="184" s="1"/>
  <c r="A32" i="184" s="1"/>
  <c r="A33" i="184" s="1"/>
  <c r="A34" i="184" s="1"/>
  <c r="A35" i="184" s="1"/>
  <c r="A36" i="184" s="1"/>
  <c r="A37" i="184" s="1"/>
  <c r="A38" i="184" s="1"/>
  <c r="A39" i="184" s="1"/>
  <c r="A40" i="184" s="1"/>
  <c r="A41" i="184" s="1"/>
  <c r="A42" i="184" s="1"/>
  <c r="A43" i="184" s="1"/>
  <c r="A44" i="184" s="1"/>
  <c r="A45" i="184" s="1"/>
  <c r="A46" i="184" s="1"/>
  <c r="A47" i="184" s="1"/>
  <c r="A48" i="184" s="1"/>
  <c r="A49" i="184" s="1"/>
  <c r="A50" i="184" s="1"/>
  <c r="A51" i="184" s="1"/>
  <c r="A52" i="184" s="1"/>
  <c r="A53" i="184" s="1"/>
  <c r="A54" i="184" s="1"/>
  <c r="A55" i="184" s="1"/>
  <c r="A56" i="184" s="1"/>
  <c r="A57" i="184" s="1"/>
  <c r="A58" i="184" s="1"/>
  <c r="A59" i="184" s="1"/>
  <c r="A60" i="184" s="1"/>
  <c r="H11" i="184"/>
  <c r="C23" i="189" l="1"/>
  <c r="C24" i="189" s="1"/>
  <c r="C15" i="188" s="1"/>
  <c r="C33" i="189"/>
  <c r="C14" i="189"/>
  <c r="C11" i="188" s="1"/>
  <c r="C18" i="189"/>
  <c r="C19" i="189" s="1"/>
  <c r="C13" i="188" s="1"/>
  <c r="C28" i="189"/>
  <c r="C29" i="189" s="1"/>
  <c r="C17" i="188" s="1"/>
  <c r="A14" i="188"/>
  <c r="I13" i="188"/>
  <c r="I12" i="188"/>
  <c r="E52" i="185"/>
  <c r="E16" i="185"/>
  <c r="F16" i="185" s="1"/>
  <c r="F26" i="185" s="1"/>
  <c r="E24" i="186"/>
  <c r="E32" i="186" s="1"/>
  <c r="E36" i="186" s="1"/>
  <c r="E15" i="144"/>
  <c r="A15" i="188"/>
  <c r="I14" i="188"/>
  <c r="E35" i="184"/>
  <c r="E37" i="184" s="1"/>
  <c r="E26" i="185"/>
  <c r="A17" i="185"/>
  <c r="H17" i="185"/>
  <c r="C34" i="189" l="1"/>
  <c r="G33" i="189"/>
  <c r="G34" i="189" s="1"/>
  <c r="A16" i="188"/>
  <c r="I15" i="188"/>
  <c r="H18" i="185"/>
  <c r="H19" i="185" s="1"/>
  <c r="H20" i="185" s="1"/>
  <c r="H21" i="185" s="1"/>
  <c r="H22" i="185" s="1"/>
  <c r="H23" i="185" s="1"/>
  <c r="H24" i="185" s="1"/>
  <c r="H25" i="185" s="1"/>
  <c r="H26" i="185" s="1"/>
  <c r="H27" i="185" s="1"/>
  <c r="H28" i="185" s="1"/>
  <c r="H29" i="185" s="1"/>
  <c r="A18" i="185"/>
  <c r="A19" i="185" s="1"/>
  <c r="A20" i="185" s="1"/>
  <c r="A21" i="185" s="1"/>
  <c r="A22" i="185" s="1"/>
  <c r="A23" i="185" s="1"/>
  <c r="A24" i="185" s="1"/>
  <c r="A17" i="188" l="1"/>
  <c r="I16" i="188"/>
  <c r="A25" i="185"/>
  <c r="A26" i="185" s="1"/>
  <c r="A27" i="185" s="1"/>
  <c r="A28" i="185" s="1"/>
  <c r="A29" i="185" s="1"/>
  <c r="G26" i="185"/>
  <c r="A20" i="188" l="1"/>
  <c r="I17" i="188"/>
  <c r="I20" i="188" l="1"/>
  <c r="A21" i="188"/>
  <c r="I21" i="188" s="1"/>
  <c r="E16" i="42" l="1"/>
  <c r="J36" i="178"/>
  <c r="A36" i="178"/>
  <c r="B5" i="156"/>
  <c r="B5" i="158" s="1"/>
  <c r="H28" i="177" l="1"/>
  <c r="H21" i="177"/>
  <c r="H14" i="177"/>
  <c r="B5" i="182" l="1"/>
  <c r="B5" i="135"/>
  <c r="J37" i="178" l="1"/>
  <c r="H41" i="116" l="1"/>
  <c r="B5" i="177" l="1"/>
  <c r="B5" i="73"/>
  <c r="B5" i="71"/>
  <c r="B5" i="70"/>
  <c r="B5" i="64"/>
  <c r="B5" i="65"/>
  <c r="B5" i="63"/>
  <c r="B5" i="59"/>
  <c r="B5" i="56"/>
  <c r="B5" i="52"/>
  <c r="B4" i="42"/>
  <c r="B6" i="109"/>
  <c r="B5" i="36"/>
  <c r="B5" i="30"/>
  <c r="B5" i="27"/>
  <c r="B5" i="26"/>
  <c r="B5" i="25"/>
  <c r="B6" i="24"/>
  <c r="B6" i="136"/>
  <c r="B5" i="23"/>
  <c r="B5" i="14"/>
  <c r="B5" i="13"/>
  <c r="B5" i="3"/>
  <c r="B5" i="12"/>
  <c r="B5" i="9"/>
  <c r="B5" i="8"/>
  <c r="B5" i="7"/>
  <c r="B5" i="6"/>
  <c r="B5" i="5"/>
  <c r="F257" i="82" l="1"/>
  <c r="F244" i="82"/>
  <c r="F254" i="82"/>
  <c r="F165" i="82"/>
  <c r="D86" i="82"/>
  <c r="D49" i="82"/>
  <c r="K26" i="11" l="1"/>
  <c r="K25" i="11"/>
  <c r="K24" i="11"/>
  <c r="L24" i="34" l="1"/>
  <c r="L25" i="34" s="1"/>
  <c r="G25" i="34"/>
  <c r="E25" i="34"/>
  <c r="A24" i="34"/>
  <c r="A25" i="34" s="1"/>
  <c r="I25" i="34" l="1"/>
  <c r="E255" i="132" s="1"/>
  <c r="E210" i="132" l="1"/>
  <c r="C28" i="183" l="1"/>
  <c r="A14" i="183"/>
  <c r="A15" i="183" s="1"/>
  <c r="A16" i="183" s="1"/>
  <c r="A17" i="183" s="1"/>
  <c r="D13" i="183"/>
  <c r="D14" i="183" s="1"/>
  <c r="D15" i="183" s="1"/>
  <c r="D16" i="183" s="1"/>
  <c r="D17" i="183" s="1"/>
  <c r="D18" i="183" l="1"/>
  <c r="D19" i="183" s="1"/>
  <c r="D20" i="183" s="1"/>
  <c r="D21" i="183" s="1"/>
  <c r="D22" i="183" s="1"/>
  <c r="D23" i="183" s="1"/>
  <c r="A18" i="183"/>
  <c r="A19" i="183" s="1"/>
  <c r="A20" i="183" s="1"/>
  <c r="A21" i="183" s="1"/>
  <c r="A22" i="183" s="1"/>
  <c r="A23" i="183" s="1"/>
  <c r="G11" i="182" l="1"/>
  <c r="I11" i="182"/>
  <c r="E9" i="182"/>
  <c r="C9" i="182"/>
  <c r="H209" i="132" l="1"/>
  <c r="H210" i="132" s="1"/>
  <c r="H211" i="132" s="1"/>
  <c r="A209" i="132"/>
  <c r="A210" i="132" s="1"/>
  <c r="G135" i="178" l="1"/>
  <c r="B5" i="178"/>
  <c r="B73" i="178" s="1"/>
  <c r="G250" i="178"/>
  <c r="G247" i="178"/>
  <c r="G237" i="178"/>
  <c r="G216" i="178"/>
  <c r="G213" i="178"/>
  <c r="G203" i="178"/>
  <c r="A195" i="178"/>
  <c r="A196" i="178" s="1"/>
  <c r="A197" i="178" s="1"/>
  <c r="A198" i="178" s="1"/>
  <c r="A199" i="178" s="1"/>
  <c r="A200" i="178" s="1"/>
  <c r="A201" i="178" s="1"/>
  <c r="A202" i="178" s="1"/>
  <c r="A203" i="178" s="1"/>
  <c r="A204" i="178" s="1"/>
  <c r="A205" i="178" s="1"/>
  <c r="A206" i="178" s="1"/>
  <c r="A207" i="178" s="1"/>
  <c r="A208" i="178" s="1"/>
  <c r="A209" i="178" s="1"/>
  <c r="A210" i="178" s="1"/>
  <c r="A211" i="178" s="1"/>
  <c r="A212" i="178" s="1"/>
  <c r="A213" i="178" s="1"/>
  <c r="A214" i="178" s="1"/>
  <c r="A215" i="178" s="1"/>
  <c r="A216" i="178" s="1"/>
  <c r="A217" i="178" s="1"/>
  <c r="A218" i="178" s="1"/>
  <c r="A219" i="178" s="1"/>
  <c r="A220" i="178" s="1"/>
  <c r="A221" i="178" s="1"/>
  <c r="A222" i="178" s="1"/>
  <c r="A223" i="178" s="1"/>
  <c r="A224" i="178" s="1"/>
  <c r="A225" i="178" s="1"/>
  <c r="A226" i="178" s="1"/>
  <c r="A227" i="178" s="1"/>
  <c r="A228" i="178" s="1"/>
  <c r="A229" i="178" s="1"/>
  <c r="A230" i="178" s="1"/>
  <c r="A231" i="178" s="1"/>
  <c r="A232" i="178" s="1"/>
  <c r="A233" i="178" s="1"/>
  <c r="A234" i="178" s="1"/>
  <c r="A235" i="178" s="1"/>
  <c r="A236" i="178" s="1"/>
  <c r="A237" i="178" s="1"/>
  <c r="A238" i="178" s="1"/>
  <c r="A239" i="178" s="1"/>
  <c r="A240" i="178" s="1"/>
  <c r="A241" i="178" s="1"/>
  <c r="A242" i="178" s="1"/>
  <c r="A243" i="178" s="1"/>
  <c r="A244" i="178" s="1"/>
  <c r="A245" i="178" s="1"/>
  <c r="A246" i="178" s="1"/>
  <c r="A247" i="178" s="1"/>
  <c r="A248" i="178" s="1"/>
  <c r="A249" i="178" s="1"/>
  <c r="A250" i="178" s="1"/>
  <c r="A251" i="178" s="1"/>
  <c r="A252" i="178" s="1"/>
  <c r="A253" i="178" s="1"/>
  <c r="A254" i="178" s="1"/>
  <c r="A255" i="178" s="1"/>
  <c r="A256" i="178" s="1"/>
  <c r="A257" i="178" s="1"/>
  <c r="A258" i="178" s="1"/>
  <c r="A259" i="178" s="1"/>
  <c r="J194" i="178"/>
  <c r="J195" i="178" s="1"/>
  <c r="J196" i="178" s="1"/>
  <c r="J197" i="178" s="1"/>
  <c r="J198" i="178" s="1"/>
  <c r="J199" i="178" s="1"/>
  <c r="J200" i="178" s="1"/>
  <c r="J201" i="178" s="1"/>
  <c r="J202" i="178" s="1"/>
  <c r="J203" i="178" s="1"/>
  <c r="J204" i="178" s="1"/>
  <c r="J205" i="178" s="1"/>
  <c r="J206" i="178" s="1"/>
  <c r="J207" i="178" s="1"/>
  <c r="J208" i="178" s="1"/>
  <c r="J209" i="178" s="1"/>
  <c r="J210" i="178" s="1"/>
  <c r="J211" i="178" s="1"/>
  <c r="J212" i="178" s="1"/>
  <c r="J213" i="178" s="1"/>
  <c r="J214" i="178" s="1"/>
  <c r="J215" i="178" s="1"/>
  <c r="J216" i="178" s="1"/>
  <c r="J217" i="178" s="1"/>
  <c r="J218" i="178" s="1"/>
  <c r="J219" i="178" s="1"/>
  <c r="J220" i="178" s="1"/>
  <c r="J221" i="178" s="1"/>
  <c r="J222" i="178" s="1"/>
  <c r="J223" i="178" s="1"/>
  <c r="J224" i="178" s="1"/>
  <c r="J225" i="178" s="1"/>
  <c r="J226" i="178" s="1"/>
  <c r="J227" i="178" s="1"/>
  <c r="J228" i="178" s="1"/>
  <c r="J229" i="178" s="1"/>
  <c r="J230" i="178" s="1"/>
  <c r="J231" i="178" s="1"/>
  <c r="J232" i="178" s="1"/>
  <c r="J233" i="178" s="1"/>
  <c r="J234" i="178" s="1"/>
  <c r="J235" i="178" s="1"/>
  <c r="J236" i="178" s="1"/>
  <c r="J237" i="178" s="1"/>
  <c r="J238" i="178" s="1"/>
  <c r="J239" i="178" s="1"/>
  <c r="J240" i="178" s="1"/>
  <c r="J241" i="178" s="1"/>
  <c r="J242" i="178" s="1"/>
  <c r="J243" i="178" s="1"/>
  <c r="J244" i="178" s="1"/>
  <c r="J245" i="178" s="1"/>
  <c r="J246" i="178" s="1"/>
  <c r="J247" i="178" s="1"/>
  <c r="J248" i="178" s="1"/>
  <c r="J249" i="178" s="1"/>
  <c r="J250" i="178" s="1"/>
  <c r="J251" i="178" s="1"/>
  <c r="J252" i="178" s="1"/>
  <c r="J253" i="178" s="1"/>
  <c r="J254" i="178" s="1"/>
  <c r="J255" i="178" s="1"/>
  <c r="J256" i="178" s="1"/>
  <c r="J257" i="178" s="1"/>
  <c r="J258" i="178" s="1"/>
  <c r="J259" i="178" s="1"/>
  <c r="G170" i="178"/>
  <c r="A120" i="178"/>
  <c r="A121" i="178" s="1"/>
  <c r="A122" i="178" s="1"/>
  <c r="A123" i="178" s="1"/>
  <c r="A124" i="178" s="1"/>
  <c r="A125" i="178" s="1"/>
  <c r="A126" i="178" s="1"/>
  <c r="A127" i="178" s="1"/>
  <c r="A128" i="178" s="1"/>
  <c r="A129" i="178" s="1"/>
  <c r="A130" i="178" s="1"/>
  <c r="A131" i="178" s="1"/>
  <c r="A132" i="178" s="1"/>
  <c r="A133" i="178" s="1"/>
  <c r="A134" i="178" s="1"/>
  <c r="A135" i="178" s="1"/>
  <c r="A136" i="178" s="1"/>
  <c r="A137" i="178" s="1"/>
  <c r="A138" i="178" s="1"/>
  <c r="A139" i="178" s="1"/>
  <c r="A140" i="178" s="1"/>
  <c r="A141" i="178" s="1"/>
  <c r="A142" i="178" s="1"/>
  <c r="A143" i="178" s="1"/>
  <c r="A144" i="178" s="1"/>
  <c r="A145" i="178" s="1"/>
  <c r="A146" i="178" s="1"/>
  <c r="A147" i="178" s="1"/>
  <c r="A148" i="178" s="1"/>
  <c r="A149" i="178" s="1"/>
  <c r="A150" i="178" s="1"/>
  <c r="A151" i="178" s="1"/>
  <c r="A152" i="178" s="1"/>
  <c r="A153" i="178" s="1"/>
  <c r="A154" i="178" s="1"/>
  <c r="A155" i="178" s="1"/>
  <c r="A156" i="178" s="1"/>
  <c r="A157" i="178" s="1"/>
  <c r="A158" i="178" s="1"/>
  <c r="A159" i="178" s="1"/>
  <c r="A160" i="178" s="1"/>
  <c r="A161" i="178" s="1"/>
  <c r="A162" i="178" s="1"/>
  <c r="A163" i="178" s="1"/>
  <c r="A164" i="178" s="1"/>
  <c r="A165" i="178" s="1"/>
  <c r="A166" i="178" s="1"/>
  <c r="A167" i="178" s="1"/>
  <c r="A168" i="178" s="1"/>
  <c r="A169" i="178" s="1"/>
  <c r="A170" i="178" s="1"/>
  <c r="A171" i="178" s="1"/>
  <c r="A172" i="178" s="1"/>
  <c r="A173" i="178" s="1"/>
  <c r="A174" i="178" s="1"/>
  <c r="A175" i="178" s="1"/>
  <c r="A176" i="178" s="1"/>
  <c r="A177" i="178" s="1"/>
  <c r="A178" i="178" s="1"/>
  <c r="A179" i="178" s="1"/>
  <c r="A180" i="178" s="1"/>
  <c r="A181" i="178" s="1"/>
  <c r="A182" i="178" s="1"/>
  <c r="A119" i="178"/>
  <c r="A118" i="178"/>
  <c r="J117" i="178"/>
  <c r="J118" i="178" s="1"/>
  <c r="J119" i="178" s="1"/>
  <c r="J120" i="178" s="1"/>
  <c r="J121" i="178" s="1"/>
  <c r="J122" i="178" s="1"/>
  <c r="J123" i="178" s="1"/>
  <c r="J124" i="178" s="1"/>
  <c r="J125" i="178" s="1"/>
  <c r="J126" i="178" s="1"/>
  <c r="J127" i="178" s="1"/>
  <c r="J128" i="178" s="1"/>
  <c r="J129" i="178" s="1"/>
  <c r="J130" i="178" s="1"/>
  <c r="J131" i="178" s="1"/>
  <c r="J132" i="178" s="1"/>
  <c r="J133" i="178" s="1"/>
  <c r="J134" i="178" s="1"/>
  <c r="J135" i="178" s="1"/>
  <c r="J136" i="178" s="1"/>
  <c r="J137" i="178" s="1"/>
  <c r="J138" i="178" s="1"/>
  <c r="J139" i="178" s="1"/>
  <c r="J140" i="178" s="1"/>
  <c r="J141" i="178" s="1"/>
  <c r="J142" i="178" s="1"/>
  <c r="J143" i="178" s="1"/>
  <c r="J144" i="178" s="1"/>
  <c r="J145" i="178" s="1"/>
  <c r="J146" i="178" s="1"/>
  <c r="J147" i="178" s="1"/>
  <c r="J148" i="178" s="1"/>
  <c r="J149" i="178" s="1"/>
  <c r="J150" i="178" s="1"/>
  <c r="J151" i="178" s="1"/>
  <c r="J152" i="178" s="1"/>
  <c r="J153" i="178" s="1"/>
  <c r="J154" i="178" s="1"/>
  <c r="J155" i="178" s="1"/>
  <c r="J156" i="178" s="1"/>
  <c r="J157" i="178" s="1"/>
  <c r="J158" i="178" s="1"/>
  <c r="J159" i="178" s="1"/>
  <c r="J160" i="178" s="1"/>
  <c r="J161" i="178" s="1"/>
  <c r="J162" i="178" s="1"/>
  <c r="J163" i="178" s="1"/>
  <c r="J164" i="178" s="1"/>
  <c r="J165" i="178" s="1"/>
  <c r="J166" i="178" s="1"/>
  <c r="J167" i="178" s="1"/>
  <c r="J168" i="178" s="1"/>
  <c r="J169" i="178" s="1"/>
  <c r="J170" i="178" s="1"/>
  <c r="J171" i="178" s="1"/>
  <c r="J172" i="178" s="1"/>
  <c r="J173" i="178" s="1"/>
  <c r="J174" i="178" s="1"/>
  <c r="J175" i="178" s="1"/>
  <c r="J176" i="178" s="1"/>
  <c r="J177" i="178" s="1"/>
  <c r="J178" i="178" s="1"/>
  <c r="J179" i="178" s="1"/>
  <c r="J180" i="178" s="1"/>
  <c r="J181" i="178" s="1"/>
  <c r="J182" i="178" s="1"/>
  <c r="E99" i="178"/>
  <c r="E86" i="178"/>
  <c r="A80" i="178"/>
  <c r="A81" i="178" s="1"/>
  <c r="A82" i="178" s="1"/>
  <c r="A83" i="178" s="1"/>
  <c r="A84" i="178" s="1"/>
  <c r="A85" i="178" s="1"/>
  <c r="A86" i="178" s="1"/>
  <c r="A87" i="178" s="1"/>
  <c r="A88" i="178" s="1"/>
  <c r="A89" i="178" s="1"/>
  <c r="A90" i="178" s="1"/>
  <c r="A91" i="178" s="1"/>
  <c r="A92" i="178" s="1"/>
  <c r="A93" i="178" s="1"/>
  <c r="A94" i="178" s="1"/>
  <c r="A95" i="178" s="1"/>
  <c r="A96" i="178" s="1"/>
  <c r="A97" i="178" s="1"/>
  <c r="A98" i="178" s="1"/>
  <c r="A99" i="178" s="1"/>
  <c r="A100" i="178" s="1"/>
  <c r="A101" i="178" s="1"/>
  <c r="A102" i="178" s="1"/>
  <c r="J79" i="178"/>
  <c r="J80" i="178" s="1"/>
  <c r="J81" i="178" s="1"/>
  <c r="J82" i="178" s="1"/>
  <c r="J83" i="178" s="1"/>
  <c r="J84" i="178" s="1"/>
  <c r="J85" i="178" s="1"/>
  <c r="J86" i="178" s="1"/>
  <c r="J87" i="178" s="1"/>
  <c r="J88" i="178" s="1"/>
  <c r="J89" i="178" s="1"/>
  <c r="J90" i="178" s="1"/>
  <c r="J91" i="178" s="1"/>
  <c r="J92" i="178" s="1"/>
  <c r="J93" i="178" s="1"/>
  <c r="J94" i="178" s="1"/>
  <c r="J95" i="178" s="1"/>
  <c r="J96" i="178" s="1"/>
  <c r="J97" i="178" s="1"/>
  <c r="J98" i="178" s="1"/>
  <c r="J99" i="178" s="1"/>
  <c r="J100" i="178" s="1"/>
  <c r="J101" i="178" s="1"/>
  <c r="J102" i="178" s="1"/>
  <c r="E62" i="178"/>
  <c r="E49" i="178"/>
  <c r="G32" i="178"/>
  <c r="E48" i="178" s="1"/>
  <c r="C61" i="178"/>
  <c r="G25" i="178"/>
  <c r="G17" i="178"/>
  <c r="C60" i="178" s="1"/>
  <c r="A12" i="178"/>
  <c r="A13" i="178" s="1"/>
  <c r="A14" i="178" s="1"/>
  <c r="A15" i="178" s="1"/>
  <c r="A16" i="178" s="1"/>
  <c r="A17" i="178" s="1"/>
  <c r="A18" i="178" s="1"/>
  <c r="A19" i="178" s="1"/>
  <c r="A20" i="178" s="1"/>
  <c r="A21" i="178" s="1"/>
  <c r="A22" i="178" s="1"/>
  <c r="A23" i="178" s="1"/>
  <c r="A24" i="178" s="1"/>
  <c r="A25" i="178" s="1"/>
  <c r="A26" i="178" s="1"/>
  <c r="A27" i="178" s="1"/>
  <c r="A28" i="178" s="1"/>
  <c r="A29" i="178" s="1"/>
  <c r="A30" i="178" s="1"/>
  <c r="A31" i="178" s="1"/>
  <c r="A32" i="178" s="1"/>
  <c r="A33" i="178" s="1"/>
  <c r="A34" i="178" s="1"/>
  <c r="A35" i="178" s="1"/>
  <c r="A37" i="178" s="1"/>
  <c r="A38" i="178" s="1"/>
  <c r="A39" i="178" s="1"/>
  <c r="A40" i="178" s="1"/>
  <c r="A41" i="178" s="1"/>
  <c r="A42" i="178" s="1"/>
  <c r="A43" i="178" s="1"/>
  <c r="A44" i="178" s="1"/>
  <c r="A45" i="178" s="1"/>
  <c r="A46" i="178" s="1"/>
  <c r="A47" i="178" s="1"/>
  <c r="A48" i="178" s="1"/>
  <c r="A49" i="178" s="1"/>
  <c r="A50" i="178" s="1"/>
  <c r="A51" i="178" s="1"/>
  <c r="A52" i="178" s="1"/>
  <c r="A53" i="178" s="1"/>
  <c r="A54" i="178" s="1"/>
  <c r="A55" i="178" s="1"/>
  <c r="A56" i="178" s="1"/>
  <c r="A57" i="178" s="1"/>
  <c r="A58" i="178" s="1"/>
  <c r="A59" i="178" s="1"/>
  <c r="A60" i="178" s="1"/>
  <c r="A61" i="178" s="1"/>
  <c r="A62" i="178" s="1"/>
  <c r="A63" i="178" s="1"/>
  <c r="A64" i="178" s="1"/>
  <c r="A65" i="178" s="1"/>
  <c r="J11" i="178"/>
  <c r="J12" i="178" s="1"/>
  <c r="J13" i="178" s="1"/>
  <c r="J14" i="178" s="1"/>
  <c r="J15" i="178" s="1"/>
  <c r="J16" i="178" s="1"/>
  <c r="J17" i="178" s="1"/>
  <c r="J18" i="178" s="1"/>
  <c r="J19" i="178" s="1"/>
  <c r="J20" i="178" s="1"/>
  <c r="J21" i="178" s="1"/>
  <c r="J22" i="178" s="1"/>
  <c r="J23" i="178" s="1"/>
  <c r="J24" i="178" s="1"/>
  <c r="J25" i="178" s="1"/>
  <c r="J26" i="178" s="1"/>
  <c r="J27" i="178" s="1"/>
  <c r="J28" i="178" s="1"/>
  <c r="J29" i="178" s="1"/>
  <c r="J30" i="178" s="1"/>
  <c r="J31" i="178" s="1"/>
  <c r="J32" i="178" s="1"/>
  <c r="J33" i="178" s="1"/>
  <c r="J34" i="178" s="1"/>
  <c r="J35" i="178" s="1"/>
  <c r="J38" i="178" s="1"/>
  <c r="J39" i="178" s="1"/>
  <c r="J40" i="178" s="1"/>
  <c r="J41" i="178" s="1"/>
  <c r="J42" i="178" s="1"/>
  <c r="J43" i="178" s="1"/>
  <c r="J44" i="178" s="1"/>
  <c r="J45" i="178" s="1"/>
  <c r="J46" i="178" s="1"/>
  <c r="J47" i="178" s="1"/>
  <c r="J48" i="178" s="1"/>
  <c r="J49" i="178" s="1"/>
  <c r="J50" i="178" s="1"/>
  <c r="J51" i="178" s="1"/>
  <c r="J52" i="178" s="1"/>
  <c r="J53" i="178" s="1"/>
  <c r="J54" i="178" s="1"/>
  <c r="J55" i="178" s="1"/>
  <c r="J56" i="178" s="1"/>
  <c r="J57" i="178" s="1"/>
  <c r="J58" i="178" s="1"/>
  <c r="J59" i="178" s="1"/>
  <c r="J60" i="178" s="1"/>
  <c r="J61" i="178" s="1"/>
  <c r="J62" i="178" s="1"/>
  <c r="J63" i="178" s="1"/>
  <c r="J64" i="178" s="1"/>
  <c r="J65" i="178" s="1"/>
  <c r="G27" i="178" l="1"/>
  <c r="E84" i="178" s="1"/>
  <c r="C85" i="178"/>
  <c r="C98" i="178"/>
  <c r="G36" i="178"/>
  <c r="G39" i="178" s="1"/>
  <c r="C48" i="178"/>
  <c r="C84" i="178"/>
  <c r="E85" i="178"/>
  <c r="B188" i="178"/>
  <c r="C47" i="178"/>
  <c r="C97" i="178"/>
  <c r="B111" i="178"/>
  <c r="E47" i="178" l="1"/>
  <c r="C99" i="178"/>
  <c r="C86" i="178"/>
  <c r="C87" i="178" s="1"/>
  <c r="D84" i="178" s="1"/>
  <c r="C62" i="178"/>
  <c r="C49" i="178"/>
  <c r="C100" i="178" l="1"/>
  <c r="D99" i="178" s="1"/>
  <c r="G99" i="178" s="1"/>
  <c r="G102" i="178" s="1"/>
  <c r="G233" i="178" s="1"/>
  <c r="D85" i="178"/>
  <c r="G85" i="178" s="1"/>
  <c r="C50" i="178"/>
  <c r="D62" i="178" s="1"/>
  <c r="G62" i="178" s="1"/>
  <c r="D86" i="178"/>
  <c r="G86" i="178" s="1"/>
  <c r="G84" i="178"/>
  <c r="C63" i="178"/>
  <c r="H254" i="132"/>
  <c r="A254" i="132"/>
  <c r="H212" i="132"/>
  <c r="A211" i="132"/>
  <c r="A212" i="132" s="1"/>
  <c r="D49" i="178" l="1"/>
  <c r="G49" i="178" s="1"/>
  <c r="D61" i="178"/>
  <c r="G61" i="178" s="1"/>
  <c r="G65" i="178" s="1"/>
  <c r="G156" i="178" s="1"/>
  <c r="D60" i="178"/>
  <c r="D48" i="178"/>
  <c r="G48" i="178" s="1"/>
  <c r="D47" i="178"/>
  <c r="G47" i="178" s="1"/>
  <c r="D98" i="178"/>
  <c r="G98" i="178" s="1"/>
  <c r="D97" i="178"/>
  <c r="G97" i="178" s="1"/>
  <c r="H255" i="132"/>
  <c r="H256" i="132" s="1"/>
  <c r="H257" i="132" s="1"/>
  <c r="H258" i="132" s="1"/>
  <c r="H259" i="132" s="1"/>
  <c r="H260" i="132" s="1"/>
  <c r="H261" i="132" s="1"/>
  <c r="H262" i="132" s="1"/>
  <c r="H263" i="132" s="1"/>
  <c r="H264" i="132" s="1"/>
  <c r="H265" i="132" s="1"/>
  <c r="H266" i="132" s="1"/>
  <c r="H267" i="132" s="1"/>
  <c r="H268" i="132" s="1"/>
  <c r="H269" i="132" s="1"/>
  <c r="H270" i="132" s="1"/>
  <c r="H271" i="132" s="1"/>
  <c r="H272" i="132" s="1"/>
  <c r="H273" i="132" s="1"/>
  <c r="H274" i="132" s="1"/>
  <c r="H275" i="132" s="1"/>
  <c r="H276" i="132" s="1"/>
  <c r="H277" i="132" s="1"/>
  <c r="H278" i="132" s="1"/>
  <c r="H279" i="132" s="1"/>
  <c r="H280" i="132" s="1"/>
  <c r="H281" i="132" s="1"/>
  <c r="H282" i="132" s="1"/>
  <c r="H283" i="132" s="1"/>
  <c r="H284" i="132" s="1"/>
  <c r="H285" i="132" s="1"/>
  <c r="H286" i="132" s="1"/>
  <c r="H287" i="132" s="1"/>
  <c r="A255" i="132"/>
  <c r="A256" i="132" s="1"/>
  <c r="A257" i="132" s="1"/>
  <c r="A258" i="132" s="1"/>
  <c r="A259" i="132" s="1"/>
  <c r="A260" i="132" s="1"/>
  <c r="A261" i="132" s="1"/>
  <c r="A262" i="132" s="1"/>
  <c r="A263" i="132" s="1"/>
  <c r="A264" i="132" s="1"/>
  <c r="A265" i="132" s="1"/>
  <c r="A266" i="132" s="1"/>
  <c r="A267" i="132" s="1"/>
  <c r="A268" i="132" s="1"/>
  <c r="A269" i="132" s="1"/>
  <c r="A270" i="132" s="1"/>
  <c r="A271" i="132" s="1"/>
  <c r="A272" i="132" s="1"/>
  <c r="A273" i="132" s="1"/>
  <c r="A274" i="132" s="1"/>
  <c r="A275" i="132" s="1"/>
  <c r="A276" i="132" s="1"/>
  <c r="A277" i="132" s="1"/>
  <c r="A278" i="132" s="1"/>
  <c r="A279" i="132" s="1"/>
  <c r="A280" i="132" s="1"/>
  <c r="A281" i="132" s="1"/>
  <c r="A282" i="132" s="1"/>
  <c r="A283" i="132" s="1"/>
  <c r="A284" i="132" s="1"/>
  <c r="A285" i="132" s="1"/>
  <c r="A286" i="132" s="1"/>
  <c r="A287" i="132" s="1"/>
  <c r="A213" i="132"/>
  <c r="A214" i="132" s="1"/>
  <c r="A215" i="132" s="1"/>
  <c r="A216" i="132" s="1"/>
  <c r="A217" i="132" s="1"/>
  <c r="A218" i="132" s="1"/>
  <c r="A219" i="132" s="1"/>
  <c r="A220" i="132" s="1"/>
  <c r="A221" i="132" s="1"/>
  <c r="A222" i="132" s="1"/>
  <c r="A223" i="132" s="1"/>
  <c r="A224" i="132" s="1"/>
  <c r="A225" i="132" s="1"/>
  <c r="A226" i="132" s="1"/>
  <c r="A227" i="132" s="1"/>
  <c r="A228" i="132" s="1"/>
  <c r="A229" i="132" s="1"/>
  <c r="A230" i="132" s="1"/>
  <c r="A231" i="132" s="1"/>
  <c r="A232" i="132" s="1"/>
  <c r="A233" i="132" s="1"/>
  <c r="A234" i="132" s="1"/>
  <c r="A235" i="132" s="1"/>
  <c r="A236" i="132" s="1"/>
  <c r="A237" i="132" s="1"/>
  <c r="A238" i="132" s="1"/>
  <c r="A239" i="132" s="1"/>
  <c r="H213" i="132"/>
  <c r="H214" i="132" s="1"/>
  <c r="H215" i="132" s="1"/>
  <c r="H216" i="132" s="1"/>
  <c r="H217" i="132" s="1"/>
  <c r="H218" i="132" s="1"/>
  <c r="H219" i="132" s="1"/>
  <c r="H220" i="132" s="1"/>
  <c r="H221" i="132" s="1"/>
  <c r="H222" i="132" s="1"/>
  <c r="H223" i="132" s="1"/>
  <c r="H224" i="132" s="1"/>
  <c r="H225" i="132" s="1"/>
  <c r="H226" i="132" s="1"/>
  <c r="H227" i="132" s="1"/>
  <c r="H228" i="132" s="1"/>
  <c r="H229" i="132" s="1"/>
  <c r="H230" i="132" s="1"/>
  <c r="H231" i="132" s="1"/>
  <c r="H232" i="132" s="1"/>
  <c r="H233" i="132" s="1"/>
  <c r="H234" i="132" s="1"/>
  <c r="H235" i="132" s="1"/>
  <c r="H236" i="132" s="1"/>
  <c r="H237" i="132" s="1"/>
  <c r="H238" i="132" s="1"/>
  <c r="H239" i="132" s="1"/>
  <c r="D87" i="178"/>
  <c r="G89" i="178"/>
  <c r="G199" i="178" s="1"/>
  <c r="G245" i="178"/>
  <c r="G87" i="178"/>
  <c r="G223" i="178" s="1"/>
  <c r="H16" i="63"/>
  <c r="H17" i="63"/>
  <c r="H18" i="63" s="1"/>
  <c r="H19" i="63" s="1"/>
  <c r="H20" i="63" s="1"/>
  <c r="H21" i="63" s="1"/>
  <c r="H22" i="63" s="1"/>
  <c r="H23" i="63" s="1"/>
  <c r="H24" i="63" s="1"/>
  <c r="H25" i="63" s="1"/>
  <c r="H26" i="63" s="1"/>
  <c r="H27" i="63" s="1"/>
  <c r="H28" i="63" s="1"/>
  <c r="H29" i="63" s="1"/>
  <c r="A16" i="63"/>
  <c r="A17" i="63" s="1"/>
  <c r="A18" i="63" s="1"/>
  <c r="A19" i="63" s="1"/>
  <c r="A20" i="63" s="1"/>
  <c r="A21" i="63" s="1"/>
  <c r="A22" i="63" s="1"/>
  <c r="A23" i="63" s="1"/>
  <c r="A24" i="63" s="1"/>
  <c r="A25" i="63" s="1"/>
  <c r="A26" i="63" s="1"/>
  <c r="A27" i="63" s="1"/>
  <c r="A28" i="63" s="1"/>
  <c r="A29" i="63" s="1"/>
  <c r="J28" i="48"/>
  <c r="J27" i="48"/>
  <c r="J26" i="48"/>
  <c r="L26" i="48"/>
  <c r="L27" i="48" s="1"/>
  <c r="L28" i="48" s="1"/>
  <c r="L29" i="48" s="1"/>
  <c r="L30" i="48" s="1"/>
  <c r="L31" i="48" s="1"/>
  <c r="L32" i="48" s="1"/>
  <c r="L33" i="48" s="1"/>
  <c r="L34" i="48" s="1"/>
  <c r="L35" i="48" s="1"/>
  <c r="L36" i="48" s="1"/>
  <c r="L37" i="48" s="1"/>
  <c r="L38" i="48" s="1"/>
  <c r="L39" i="48" s="1"/>
  <c r="L40" i="48" s="1"/>
  <c r="A26" i="48"/>
  <c r="A27" i="48" s="1"/>
  <c r="A28" i="48" s="1"/>
  <c r="A29" i="48" s="1"/>
  <c r="A30" i="48" s="1"/>
  <c r="A31" i="48" s="1"/>
  <c r="A32" i="48" s="1"/>
  <c r="A33" i="48" s="1"/>
  <c r="A34" i="48" s="1"/>
  <c r="A35" i="48" s="1"/>
  <c r="A36" i="48" s="1"/>
  <c r="A37" i="48" s="1"/>
  <c r="A38" i="48" s="1"/>
  <c r="A39" i="48" s="1"/>
  <c r="A40" i="48" s="1"/>
  <c r="K26" i="10"/>
  <c r="K25" i="10"/>
  <c r="K24" i="10"/>
  <c r="K27" i="136"/>
  <c r="K26" i="136"/>
  <c r="K25" i="136"/>
  <c r="K27" i="24"/>
  <c r="K26" i="24"/>
  <c r="K25" i="24"/>
  <c r="M25" i="24"/>
  <c r="M26" i="24"/>
  <c r="M27" i="24" s="1"/>
  <c r="M28" i="24" s="1"/>
  <c r="M29" i="24" s="1"/>
  <c r="M30" i="24" s="1"/>
  <c r="M31" i="24" s="1"/>
  <c r="M32" i="24" s="1"/>
  <c r="M33" i="24" s="1"/>
  <c r="M34" i="24" s="1"/>
  <c r="M35" i="24" s="1"/>
  <c r="M36" i="24" s="1"/>
  <c r="M37" i="24" s="1"/>
  <c r="M38" i="24" s="1"/>
  <c r="M39" i="24" s="1"/>
  <c r="A25" i="24"/>
  <c r="A26" i="24" s="1"/>
  <c r="A27" i="24" s="1"/>
  <c r="A28" i="24" s="1"/>
  <c r="A29" i="24" s="1"/>
  <c r="A30" i="24" s="1"/>
  <c r="A31" i="24" s="1"/>
  <c r="A32" i="24" s="1"/>
  <c r="A33" i="24" s="1"/>
  <c r="A34" i="24" s="1"/>
  <c r="A35" i="24" s="1"/>
  <c r="A36" i="24" s="1"/>
  <c r="A37" i="24" s="1"/>
  <c r="A38" i="24" s="1"/>
  <c r="A39" i="24" s="1"/>
  <c r="M25" i="136"/>
  <c r="M26" i="136" s="1"/>
  <c r="M27" i="136" s="1"/>
  <c r="M28" i="136" s="1"/>
  <c r="M29" i="136" s="1"/>
  <c r="M30" i="136" s="1"/>
  <c r="M31" i="136" s="1"/>
  <c r="M32" i="136" s="1"/>
  <c r="M33" i="136" s="1"/>
  <c r="M34" i="136" s="1"/>
  <c r="M35" i="136" s="1"/>
  <c r="M36" i="136" s="1"/>
  <c r="M37" i="136" s="1"/>
  <c r="M38" i="136" s="1"/>
  <c r="M39" i="136" s="1"/>
  <c r="A25" i="136"/>
  <c r="A26" i="136" s="1"/>
  <c r="A27" i="136" s="1"/>
  <c r="A28" i="136" s="1"/>
  <c r="A29" i="136" s="1"/>
  <c r="A30" i="136" s="1"/>
  <c r="A31" i="136" s="1"/>
  <c r="A32" i="136" s="1"/>
  <c r="A33" i="136" s="1"/>
  <c r="A34" i="136" s="1"/>
  <c r="A35" i="136" s="1"/>
  <c r="A36" i="136" s="1"/>
  <c r="A37" i="136" s="1"/>
  <c r="A38" i="136" s="1"/>
  <c r="A39" i="136" s="1"/>
  <c r="M24" i="11"/>
  <c r="M25" i="11" s="1"/>
  <c r="M26" i="11" s="1"/>
  <c r="M27" i="11" s="1"/>
  <c r="M28" i="11" s="1"/>
  <c r="M29" i="11" s="1"/>
  <c r="M30" i="11" s="1"/>
  <c r="M31" i="11" s="1"/>
  <c r="M32" i="11" s="1"/>
  <c r="M33" i="11" s="1"/>
  <c r="M34" i="11" s="1"/>
  <c r="M35" i="11" s="1"/>
  <c r="M36" i="11" s="1"/>
  <c r="M37" i="11" s="1"/>
  <c r="M38" i="11" s="1"/>
  <c r="A24" i="11"/>
  <c r="A25" i="11" s="1"/>
  <c r="A26" i="11" s="1"/>
  <c r="A27" i="11" s="1"/>
  <c r="A28" i="11" s="1"/>
  <c r="A29" i="11" s="1"/>
  <c r="A30" i="11" s="1"/>
  <c r="A31" i="11" s="1"/>
  <c r="A32" i="11" s="1"/>
  <c r="A33" i="11" s="1"/>
  <c r="A34" i="11" s="1"/>
  <c r="A35" i="11" s="1"/>
  <c r="A36" i="11" s="1"/>
  <c r="A37" i="11" s="1"/>
  <c r="A38" i="11" s="1"/>
  <c r="M24" i="10"/>
  <c r="M25" i="10"/>
  <c r="M26" i="10" s="1"/>
  <c r="M27" i="10" s="1"/>
  <c r="M28" i="10" s="1"/>
  <c r="M29" i="10" s="1"/>
  <c r="M30" i="10" s="1"/>
  <c r="M31" i="10" s="1"/>
  <c r="M32" i="10" s="1"/>
  <c r="M33" i="10" s="1"/>
  <c r="M34" i="10" s="1"/>
  <c r="M35" i="10" s="1"/>
  <c r="M36" i="10" s="1"/>
  <c r="M37" i="10" s="1"/>
  <c r="M38" i="10" s="1"/>
  <c r="A35" i="10"/>
  <c r="A36" i="10" s="1"/>
  <c r="A37" i="10" s="1"/>
  <c r="A38" i="10" s="1"/>
  <c r="A24" i="10"/>
  <c r="A25" i="10"/>
  <c r="A26" i="10" s="1"/>
  <c r="A27" i="10" s="1"/>
  <c r="A28" i="10" s="1"/>
  <c r="A29" i="10" s="1"/>
  <c r="A30" i="10" s="1"/>
  <c r="A31" i="10" s="1"/>
  <c r="A32" i="10" s="1"/>
  <c r="A33" i="10" s="1"/>
  <c r="A34" i="10" s="1"/>
  <c r="E22" i="42"/>
  <c r="G52" i="178" l="1"/>
  <c r="G122" i="178" s="1"/>
  <c r="G134" i="178" s="1"/>
  <c r="G50" i="178"/>
  <c r="G146" i="178" s="1"/>
  <c r="D50" i="178"/>
  <c r="D63" i="178"/>
  <c r="G60" i="178"/>
  <c r="G63" i="178" s="1"/>
  <c r="G180" i="178" s="1"/>
  <c r="G100" i="178"/>
  <c r="G257" i="178" s="1"/>
  <c r="D100" i="178"/>
  <c r="G168" i="178"/>
  <c r="G211" i="178"/>
  <c r="H288" i="132"/>
  <c r="A288" i="132"/>
  <c r="A289" i="132" l="1"/>
  <c r="A290" i="132" s="1"/>
  <c r="A291" i="132" s="1"/>
  <c r="A292" i="132" s="1"/>
  <c r="A293" i="132" s="1"/>
  <c r="A294" i="132" s="1"/>
  <c r="A295" i="132" s="1"/>
  <c r="A296" i="132" s="1"/>
  <c r="A297" i="132" s="1"/>
  <c r="A298" i="132" s="1"/>
  <c r="A299" i="132" s="1"/>
  <c r="H289" i="132"/>
  <c r="H290" i="132" s="1"/>
  <c r="H291" i="132" s="1"/>
  <c r="H292" i="132" s="1"/>
  <c r="H293" i="132" s="1"/>
  <c r="H294" i="132" s="1"/>
  <c r="H295" i="132" s="1"/>
  <c r="H296" i="132" s="1"/>
  <c r="H297" i="132" s="1"/>
  <c r="H298" i="132" s="1"/>
  <c r="H299" i="132" s="1"/>
  <c r="F24" i="171"/>
  <c r="E20" i="42" l="1"/>
  <c r="X17" i="79" l="1"/>
  <c r="X19" i="79"/>
  <c r="K24" i="24" l="1"/>
  <c r="K28" i="24"/>
  <c r="K29" i="24"/>
  <c r="K30" i="24"/>
  <c r="K31" i="24"/>
  <c r="K32" i="24"/>
  <c r="K33" i="24"/>
  <c r="K34" i="24"/>
  <c r="K35" i="24"/>
  <c r="Y11" i="79" l="1"/>
  <c r="Y12" i="79" s="1"/>
  <c r="Y13" i="79" s="1"/>
  <c r="Y14" i="79" s="1"/>
  <c r="Y15" i="79" s="1"/>
  <c r="Y16" i="79" s="1"/>
  <c r="Y17" i="79" s="1"/>
  <c r="Y18" i="79" s="1"/>
  <c r="Y19" i="79" s="1"/>
  <c r="Y20" i="79" s="1"/>
  <c r="Y21" i="79" s="1"/>
  <c r="Y22" i="79" s="1"/>
  <c r="Y23" i="79" s="1"/>
  <c r="Y24" i="79" s="1"/>
  <c r="Y25" i="79" s="1"/>
  <c r="Y26" i="79" s="1"/>
  <c r="Y27" i="79" s="1"/>
  <c r="U15" i="79" l="1"/>
  <c r="V15" i="79"/>
  <c r="W15" i="79"/>
  <c r="S15" i="79"/>
  <c r="L15" i="79"/>
  <c r="G15" i="79"/>
  <c r="H15" i="79"/>
  <c r="I15" i="79"/>
  <c r="J15" i="79"/>
  <c r="K15" i="79"/>
  <c r="F15" i="79"/>
  <c r="B11" i="79"/>
  <c r="T15" i="79" l="1"/>
  <c r="X13" i="79"/>
  <c r="X10" i="79" l="1"/>
  <c r="K33" i="174" l="1"/>
  <c r="K34" i="174" s="1"/>
  <c r="K35" i="174" s="1"/>
  <c r="K36" i="174" s="1"/>
  <c r="K37" i="174" s="1"/>
  <c r="K38" i="174" s="1"/>
  <c r="K39" i="174" s="1"/>
  <c r="K40" i="174" s="1"/>
  <c r="K41" i="174" s="1"/>
  <c r="K42" i="174" s="1"/>
  <c r="K43" i="174" s="1"/>
  <c r="K44" i="174" s="1"/>
  <c r="K45" i="174" s="1"/>
  <c r="K46" i="174" s="1"/>
  <c r="K47" i="174" s="1"/>
  <c r="A33" i="174"/>
  <c r="A34" i="174"/>
  <c r="A35" i="174"/>
  <c r="A36" i="174"/>
  <c r="A37" i="174"/>
  <c r="A38" i="174" s="1"/>
  <c r="A39" i="174" s="1"/>
  <c r="A40" i="174" s="1"/>
  <c r="A41" i="174" s="1"/>
  <c r="A42" i="174" s="1"/>
  <c r="A43" i="174" s="1"/>
  <c r="A44" i="174" s="1"/>
  <c r="A45" i="174" s="1"/>
  <c r="A46" i="174" s="1"/>
  <c r="A47" i="174" s="1"/>
  <c r="E17" i="42" l="1"/>
  <c r="E41" i="42" l="1"/>
  <c r="E19" i="42" l="1"/>
  <c r="E51" i="42"/>
  <c r="P30" i="173"/>
  <c r="P31" i="173" s="1"/>
  <c r="P32" i="173" s="1"/>
  <c r="P33" i="173" s="1"/>
  <c r="P34" i="173" s="1"/>
  <c r="P35" i="173" s="1"/>
  <c r="P36" i="173" s="1"/>
  <c r="P37" i="173" s="1"/>
  <c r="P38" i="173" s="1"/>
  <c r="P39" i="173" s="1"/>
  <c r="P40" i="173" s="1"/>
  <c r="P41" i="173" s="1"/>
  <c r="P42" i="173" s="1"/>
  <c r="P43" i="173" s="1"/>
  <c r="P44" i="173" s="1"/>
  <c r="A30" i="173"/>
  <c r="A31" i="173" s="1"/>
  <c r="A32" i="173" s="1"/>
  <c r="A33" i="173" s="1"/>
  <c r="A34" i="173" s="1"/>
  <c r="A35" i="173" s="1"/>
  <c r="A36" i="173" s="1"/>
  <c r="A37" i="173" s="1"/>
  <c r="A38" i="173" s="1"/>
  <c r="A39" i="173" s="1"/>
  <c r="A40" i="173" s="1"/>
  <c r="A41" i="173" s="1"/>
  <c r="A42" i="173" s="1"/>
  <c r="A43" i="173" s="1"/>
  <c r="A44" i="173" s="1"/>
  <c r="K33" i="172"/>
  <c r="K34" i="172" s="1"/>
  <c r="K35" i="172" s="1"/>
  <c r="K36" i="172" s="1"/>
  <c r="K37" i="172" s="1"/>
  <c r="K38" i="172" s="1"/>
  <c r="K39" i="172" s="1"/>
  <c r="K40" i="172" s="1"/>
  <c r="K41" i="172" s="1"/>
  <c r="K42" i="172" s="1"/>
  <c r="K43" i="172" s="1"/>
  <c r="K44" i="172" s="1"/>
  <c r="K45" i="172" s="1"/>
  <c r="K46" i="172" s="1"/>
  <c r="K47" i="172" s="1"/>
  <c r="A33" i="172"/>
  <c r="A34" i="172" s="1"/>
  <c r="A35" i="172" s="1"/>
  <c r="A36" i="172" s="1"/>
  <c r="A37" i="172" s="1"/>
  <c r="A38" i="172" s="1"/>
  <c r="A39" i="172" s="1"/>
  <c r="A40" i="172" s="1"/>
  <c r="A41" i="172" s="1"/>
  <c r="A42" i="172" s="1"/>
  <c r="A43" i="172" s="1"/>
  <c r="A44" i="172" s="1"/>
  <c r="A45" i="172" s="1"/>
  <c r="A46" i="172" s="1"/>
  <c r="A47" i="172" s="1"/>
  <c r="P30" i="171"/>
  <c r="P31" i="171" s="1"/>
  <c r="P32" i="171" s="1"/>
  <c r="P33" i="171" s="1"/>
  <c r="P34" i="171" s="1"/>
  <c r="P35" i="171" s="1"/>
  <c r="P36" i="171" s="1"/>
  <c r="P37" i="171" s="1"/>
  <c r="P38" i="171" s="1"/>
  <c r="P39" i="171" s="1"/>
  <c r="P40" i="171" s="1"/>
  <c r="P41" i="171" s="1"/>
  <c r="P42" i="171" s="1"/>
  <c r="P43" i="171" s="1"/>
  <c r="P44" i="171" s="1"/>
  <c r="A29" i="171"/>
  <c r="A30" i="171" s="1"/>
  <c r="A31" i="171" s="1"/>
  <c r="A32" i="171" s="1"/>
  <c r="A33" i="171" s="1"/>
  <c r="A34" i="171" s="1"/>
  <c r="A35" i="171" s="1"/>
  <c r="A36" i="171" s="1"/>
  <c r="A37" i="171" s="1"/>
  <c r="A38" i="171" s="1"/>
  <c r="A39" i="171" s="1"/>
  <c r="A40" i="171" s="1"/>
  <c r="A41" i="171" s="1"/>
  <c r="A42" i="171" s="1"/>
  <c r="A43" i="171" s="1"/>
  <c r="A44" i="171" s="1"/>
  <c r="E13" i="153" l="1"/>
  <c r="B13" i="121" l="1"/>
  <c r="B14" i="121"/>
  <c r="B15" i="121"/>
  <c r="B16" i="121"/>
  <c r="B17" i="121"/>
  <c r="B18" i="121"/>
  <c r="B19" i="121"/>
  <c r="B20" i="121"/>
  <c r="B21" i="121"/>
  <c r="B22" i="121"/>
  <c r="B23" i="121"/>
  <c r="B24" i="121"/>
  <c r="B25" i="121"/>
  <c r="B26" i="121"/>
  <c r="B27" i="121"/>
  <c r="B28" i="121"/>
  <c r="B29" i="121"/>
  <c r="B30" i="121"/>
  <c r="B31" i="121"/>
  <c r="B32" i="121"/>
  <c r="B33" i="121"/>
  <c r="B34" i="121"/>
  <c r="B35" i="121"/>
  <c r="B12" i="121"/>
  <c r="B13" i="120"/>
  <c r="B14" i="120"/>
  <c r="B15" i="120"/>
  <c r="B16" i="120"/>
  <c r="B17" i="120"/>
  <c r="B18" i="120"/>
  <c r="B19" i="120"/>
  <c r="B20" i="120"/>
  <c r="B21" i="120"/>
  <c r="B22" i="120"/>
  <c r="B23" i="120"/>
  <c r="B24" i="120"/>
  <c r="B25" i="120"/>
  <c r="B26" i="120"/>
  <c r="B27" i="120"/>
  <c r="B28" i="120"/>
  <c r="B29" i="120"/>
  <c r="B30" i="120"/>
  <c r="B31" i="120"/>
  <c r="B32" i="120"/>
  <c r="B33" i="120"/>
  <c r="B34" i="120"/>
  <c r="B35" i="120"/>
  <c r="B12" i="120"/>
  <c r="B12" i="119"/>
  <c r="B13" i="119"/>
  <c r="B14" i="119"/>
  <c r="B15" i="119"/>
  <c r="B16" i="119"/>
  <c r="B17" i="119"/>
  <c r="B18" i="119"/>
  <c r="B19" i="119"/>
  <c r="B20" i="119"/>
  <c r="B21" i="119"/>
  <c r="B22" i="119"/>
  <c r="B23" i="119"/>
  <c r="B24" i="119"/>
  <c r="B25" i="119"/>
  <c r="B26" i="119"/>
  <c r="B27" i="119"/>
  <c r="B28" i="119"/>
  <c r="B29" i="119"/>
  <c r="B30" i="119"/>
  <c r="B31" i="119"/>
  <c r="B32" i="119"/>
  <c r="B33" i="119"/>
  <c r="B34" i="119"/>
  <c r="B11" i="119"/>
  <c r="B12" i="117"/>
  <c r="B13" i="117"/>
  <c r="B14" i="117"/>
  <c r="B15" i="117"/>
  <c r="B16" i="117"/>
  <c r="B17" i="117"/>
  <c r="B18" i="117"/>
  <c r="B19" i="117"/>
  <c r="B20" i="117"/>
  <c r="B21" i="117"/>
  <c r="B22" i="117"/>
  <c r="B23" i="117"/>
  <c r="B24" i="117"/>
  <c r="B25" i="117"/>
  <c r="B26" i="117"/>
  <c r="B27" i="117"/>
  <c r="B28" i="117"/>
  <c r="B29" i="117"/>
  <c r="B30" i="117"/>
  <c r="B31" i="117"/>
  <c r="B32" i="117"/>
  <c r="B33" i="117"/>
  <c r="B34" i="117"/>
  <c r="B11" i="117"/>
  <c r="H25" i="48" l="1"/>
  <c r="H29" i="48"/>
  <c r="H30" i="48"/>
  <c r="H31" i="48"/>
  <c r="H32" i="48"/>
  <c r="H33" i="48"/>
  <c r="H34" i="48"/>
  <c r="H35" i="48"/>
  <c r="H36" i="48"/>
  <c r="J27" i="173" l="1"/>
  <c r="X26" i="79"/>
  <c r="H18" i="48" l="1"/>
  <c r="H19" i="48"/>
  <c r="H20" i="48"/>
  <c r="H21" i="48"/>
  <c r="H17" i="48"/>
  <c r="H16" i="48"/>
  <c r="E20" i="40"/>
  <c r="E24" i="42" l="1"/>
  <c r="E21" i="42" l="1"/>
  <c r="E18" i="42"/>
  <c r="E14" i="153" l="1"/>
  <c r="D34" i="86" l="1"/>
  <c r="D17" i="86"/>
  <c r="F23" i="140" l="1"/>
  <c r="G23" i="140"/>
  <c r="H23" i="140" l="1"/>
  <c r="E119" i="144"/>
  <c r="E148" i="144"/>
  <c r="E144" i="144"/>
  <c r="B49" i="144"/>
  <c r="E38" i="144"/>
  <c r="E37" i="144"/>
  <c r="E85" i="144" l="1"/>
  <c r="E19" i="41"/>
  <c r="E15" i="41"/>
  <c r="E21" i="113" l="1"/>
  <c r="E22" i="113" s="1"/>
  <c r="E23" i="113" s="1"/>
  <c r="E24" i="113" s="1"/>
  <c r="E25" i="113" s="1"/>
  <c r="E26" i="113" s="1"/>
  <c r="E27" i="113" s="1"/>
  <c r="E28" i="113" s="1"/>
  <c r="E29" i="113" s="1"/>
  <c r="E30" i="113" s="1"/>
  <c r="E31" i="113" s="1"/>
  <c r="E32" i="113" s="1"/>
  <c r="E33" i="113" s="1"/>
  <c r="E34" i="113" s="1"/>
  <c r="A21" i="113"/>
  <c r="A22" i="113" s="1"/>
  <c r="A23" i="113" s="1"/>
  <c r="A24" i="113" s="1"/>
  <c r="A25" i="113" s="1"/>
  <c r="A26" i="113" s="1"/>
  <c r="A27" i="113" s="1"/>
  <c r="A28" i="113" s="1"/>
  <c r="A29" i="113" s="1"/>
  <c r="A30" i="113" s="1"/>
  <c r="A31" i="113" s="1"/>
  <c r="A32" i="113" s="1"/>
  <c r="A33" i="113" s="1"/>
  <c r="A34" i="113" s="1"/>
  <c r="C31" i="113"/>
  <c r="C29" i="113"/>
  <c r="X34" i="79"/>
  <c r="B26" i="23"/>
  <c r="B26" i="30" s="1"/>
  <c r="B14" i="23"/>
  <c r="B14" i="25" s="1"/>
  <c r="B14" i="26" s="1"/>
  <c r="B13" i="27" s="1"/>
  <c r="B15" i="23"/>
  <c r="B15" i="109" s="1"/>
  <c r="B16" i="70" s="1"/>
  <c r="B14" i="71" s="1"/>
  <c r="B15" i="73" s="1"/>
  <c r="B27" i="12"/>
  <c r="B16" i="12"/>
  <c r="B15" i="12"/>
  <c r="B26" i="9"/>
  <c r="B15" i="9"/>
  <c r="B14" i="9"/>
  <c r="B17" i="8"/>
  <c r="B16" i="3" s="1"/>
  <c r="B16" i="13" s="1"/>
  <c r="B17" i="14" s="1"/>
  <c r="B15" i="8"/>
  <c r="B14" i="3" s="1"/>
  <c r="B14" i="13" s="1"/>
  <c r="B13" i="14" s="1"/>
  <c r="B26" i="7"/>
  <c r="B15" i="7"/>
  <c r="B14" i="7"/>
  <c r="B26" i="6"/>
  <c r="B15" i="6"/>
  <c r="B14" i="6"/>
  <c r="B26" i="5"/>
  <c r="B15" i="5"/>
  <c r="B14" i="5"/>
  <c r="G15" i="177"/>
  <c r="I16" i="151"/>
  <c r="I15" i="151"/>
  <c r="I15" i="152"/>
  <c r="C33" i="113" l="1"/>
  <c r="C31" i="183" s="1"/>
  <c r="B26" i="109"/>
  <c r="B16" i="25"/>
  <c r="B16" i="26" s="1"/>
  <c r="B17" i="27" s="1"/>
  <c r="B15" i="30"/>
  <c r="B14" i="109"/>
  <c r="B15" i="70" s="1"/>
  <c r="B13" i="71" s="1"/>
  <c r="B14" i="73" s="1"/>
  <c r="B14" i="30"/>
  <c r="G15" i="153"/>
  <c r="B27" i="70" l="1"/>
  <c r="B25" i="71" s="1"/>
  <c r="B26" i="73" s="1"/>
  <c r="B15" i="52"/>
  <c r="B15" i="56" s="1"/>
  <c r="B13" i="59" s="1"/>
  <c r="B17" i="65" s="1"/>
  <c r="B17" i="64" s="1"/>
  <c r="D63" i="173"/>
  <c r="D64" i="173" s="1"/>
  <c r="D65" i="173" s="1"/>
  <c r="D66" i="173" s="1"/>
  <c r="J62" i="173" l="1"/>
  <c r="J61" i="173"/>
  <c r="D63" i="171" l="1"/>
  <c r="D64" i="171" s="1"/>
  <c r="D65" i="171" s="1"/>
  <c r="D66" i="171" s="1"/>
  <c r="J62" i="171" l="1"/>
  <c r="J61" i="171"/>
  <c r="C25" i="152" l="1"/>
  <c r="L17" i="173" l="1"/>
  <c r="J40" i="173"/>
  <c r="J36" i="173"/>
  <c r="J35" i="173"/>
  <c r="J34" i="173"/>
  <c r="J30" i="173"/>
  <c r="J29" i="173"/>
  <c r="J20" i="173"/>
  <c r="J19" i="173"/>
  <c r="J18" i="173"/>
  <c r="J17" i="173"/>
  <c r="H33" i="174"/>
  <c r="F33" i="174"/>
  <c r="G33" i="174" s="1"/>
  <c r="H32" i="174"/>
  <c r="F32" i="174"/>
  <c r="G32" i="174" s="1"/>
  <c r="E34" i="174"/>
  <c r="D34" i="174"/>
  <c r="E27" i="174"/>
  <c r="D27" i="174"/>
  <c r="H25" i="174"/>
  <c r="F25" i="174"/>
  <c r="G25" i="174" s="1"/>
  <c r="H24" i="174"/>
  <c r="F24" i="174"/>
  <c r="G24" i="174" s="1"/>
  <c r="H22" i="174"/>
  <c r="F22" i="174"/>
  <c r="G22" i="174" s="1"/>
  <c r="H20" i="174"/>
  <c r="F20" i="174"/>
  <c r="G20" i="174" s="1"/>
  <c r="H19" i="174"/>
  <c r="F19" i="174"/>
  <c r="G19" i="174" s="1"/>
  <c r="H18" i="174"/>
  <c r="F18" i="174"/>
  <c r="G18" i="174" s="1"/>
  <c r="K30" i="171"/>
  <c r="K29" i="171"/>
  <c r="K22" i="171"/>
  <c r="K21" i="171"/>
  <c r="K19" i="171"/>
  <c r="K17" i="171"/>
  <c r="H20" i="172" s="1"/>
  <c r="K16" i="171"/>
  <c r="K15" i="171"/>
  <c r="L30" i="173"/>
  <c r="L21" i="173"/>
  <c r="F31" i="173"/>
  <c r="G31" i="173"/>
  <c r="H31" i="173"/>
  <c r="I31" i="173"/>
  <c r="F24" i="173"/>
  <c r="G24" i="173"/>
  <c r="F33" i="172"/>
  <c r="G33" i="172" s="1"/>
  <c r="F32" i="172"/>
  <c r="G32" i="172" s="1"/>
  <c r="H25" i="172"/>
  <c r="F25" i="172"/>
  <c r="G25" i="172" s="1"/>
  <c r="F24" i="172"/>
  <c r="G24" i="172" s="1"/>
  <c r="F22" i="172"/>
  <c r="G22" i="172" s="1"/>
  <c r="F20" i="172"/>
  <c r="G20" i="172" s="1"/>
  <c r="F19" i="172"/>
  <c r="G19" i="172" s="1"/>
  <c r="F18" i="172"/>
  <c r="G18" i="172" s="1"/>
  <c r="E34" i="172"/>
  <c r="D34" i="172"/>
  <c r="E27" i="172"/>
  <c r="D27" i="172"/>
  <c r="E31" i="171"/>
  <c r="F31" i="171"/>
  <c r="G31" i="171"/>
  <c r="H31" i="171"/>
  <c r="I31" i="171"/>
  <c r="D31" i="171"/>
  <c r="E24" i="171"/>
  <c r="G24" i="171"/>
  <c r="H24" i="171"/>
  <c r="I24" i="171"/>
  <c r="D24" i="171"/>
  <c r="F217" i="82"/>
  <c r="H18" i="172" l="1"/>
  <c r="H24" i="172"/>
  <c r="I24" i="172" s="1"/>
  <c r="L21" i="171" s="1"/>
  <c r="H27" i="174"/>
  <c r="J31" i="171"/>
  <c r="J37" i="173"/>
  <c r="I18" i="174"/>
  <c r="I20" i="174"/>
  <c r="I24" i="174"/>
  <c r="I33" i="174"/>
  <c r="J24" i="171"/>
  <c r="J37" i="171"/>
  <c r="J28" i="173"/>
  <c r="J31" i="173" s="1"/>
  <c r="I19" i="174"/>
  <c r="I22" i="174"/>
  <c r="I25" i="174"/>
  <c r="I32" i="174"/>
  <c r="G27" i="174"/>
  <c r="F27" i="174"/>
  <c r="H33" i="172"/>
  <c r="I33" i="172" s="1"/>
  <c r="L30" i="171" s="1"/>
  <c r="H32" i="172"/>
  <c r="I25" i="172"/>
  <c r="L22" i="171" s="1"/>
  <c r="H22" i="172"/>
  <c r="I22" i="172" s="1"/>
  <c r="L19" i="171" s="1"/>
  <c r="N19" i="171" s="1"/>
  <c r="E19" i="173" s="1"/>
  <c r="H19" i="172"/>
  <c r="I19" i="172" s="1"/>
  <c r="L16" i="171" s="1"/>
  <c r="I18" i="172"/>
  <c r="L15" i="171" s="1"/>
  <c r="I20" i="172"/>
  <c r="L17" i="171" s="1"/>
  <c r="F214" i="82"/>
  <c r="M16" i="171" l="1"/>
  <c r="D16" i="173" s="1"/>
  <c r="M15" i="171"/>
  <c r="E13" i="152" s="1"/>
  <c r="M19" i="171"/>
  <c r="D19" i="173" s="1"/>
  <c r="K19" i="173" s="1"/>
  <c r="M17" i="171"/>
  <c r="D17" i="173" s="1"/>
  <c r="N16" i="171"/>
  <c r="E16" i="173" s="1"/>
  <c r="N15" i="171"/>
  <c r="N17" i="171"/>
  <c r="E17" i="173" s="1"/>
  <c r="M22" i="171"/>
  <c r="D22" i="173" s="1"/>
  <c r="N22" i="171"/>
  <c r="E22" i="173" s="1"/>
  <c r="N21" i="171"/>
  <c r="E21" i="173" s="1"/>
  <c r="M21" i="171"/>
  <c r="D21" i="173" s="1"/>
  <c r="J42" i="173"/>
  <c r="J42" i="171"/>
  <c r="J44" i="171" s="1"/>
  <c r="I27" i="174"/>
  <c r="I32" i="172"/>
  <c r="L29" i="171" s="1"/>
  <c r="J16" i="173"/>
  <c r="E15" i="173" l="1"/>
  <c r="G13" i="152"/>
  <c r="K17" i="173"/>
  <c r="M30" i="171"/>
  <c r="D30" i="173" s="1"/>
  <c r="M29" i="171"/>
  <c r="N30" i="171"/>
  <c r="E30" i="173" s="1"/>
  <c r="N29" i="171"/>
  <c r="G28" i="152"/>
  <c r="C28" i="153"/>
  <c r="E28" i="152"/>
  <c r="K16" i="173"/>
  <c r="D15" i="173"/>
  <c r="J22" i="173"/>
  <c r="K30" i="173" l="1"/>
  <c r="K22" i="173"/>
  <c r="J21" i="173"/>
  <c r="C13" i="153"/>
  <c r="G13" i="153" s="1"/>
  <c r="J15" i="173"/>
  <c r="E28" i="153"/>
  <c r="H24" i="173"/>
  <c r="I24" i="173"/>
  <c r="D29" i="173"/>
  <c r="E29" i="173"/>
  <c r="K21" i="173"/>
  <c r="K15" i="173"/>
  <c r="C33" i="177"/>
  <c r="K29" i="173" l="1"/>
  <c r="J24" i="173"/>
  <c r="J44" i="173" s="1"/>
  <c r="I32" i="152"/>
  <c r="I31" i="152"/>
  <c r="I30" i="152"/>
  <c r="I29" i="152"/>
  <c r="I17" i="152"/>
  <c r="I16" i="152"/>
  <c r="I32" i="151"/>
  <c r="I31" i="151"/>
  <c r="I30" i="151"/>
  <c r="I29" i="151"/>
  <c r="I24" i="151"/>
  <c r="I23" i="151"/>
  <c r="I17" i="151"/>
  <c r="C14" i="153" l="1"/>
  <c r="E33" i="177" l="1"/>
  <c r="G32" i="177"/>
  <c r="G31" i="177"/>
  <c r="G30" i="177"/>
  <c r="G29" i="177"/>
  <c r="G28" i="177"/>
  <c r="E25" i="177"/>
  <c r="C25" i="177"/>
  <c r="G24" i="177"/>
  <c r="G23" i="177"/>
  <c r="G22" i="177"/>
  <c r="G21" i="177"/>
  <c r="E18" i="177"/>
  <c r="C18" i="177"/>
  <c r="G17" i="177"/>
  <c r="G16" i="177"/>
  <c r="G14" i="177"/>
  <c r="G13" i="177"/>
  <c r="A13" i="177"/>
  <c r="A14" i="177" s="1"/>
  <c r="A15" i="177" s="1"/>
  <c r="A16" i="177" s="1"/>
  <c r="A17" i="177" s="1"/>
  <c r="A18" i="177" s="1"/>
  <c r="A19" i="177" s="1"/>
  <c r="A20" i="177" s="1"/>
  <c r="A21" i="177" s="1"/>
  <c r="A22" i="177" s="1"/>
  <c r="A23" i="177" s="1"/>
  <c r="A24" i="177" s="1"/>
  <c r="A25" i="177" s="1"/>
  <c r="A26" i="177" s="1"/>
  <c r="A27" i="177" s="1"/>
  <c r="A28" i="177" s="1"/>
  <c r="A29" i="177" s="1"/>
  <c r="A30" i="177" s="1"/>
  <c r="A31" i="177" s="1"/>
  <c r="A32" i="177" s="1"/>
  <c r="A33" i="177" s="1"/>
  <c r="A34" i="177" s="1"/>
  <c r="A35" i="177" s="1"/>
  <c r="I12" i="177"/>
  <c r="I13" i="177" s="1"/>
  <c r="A11" i="176"/>
  <c r="A12" i="176" s="1"/>
  <c r="A13" i="176" s="1"/>
  <c r="A14" i="176" s="1"/>
  <c r="A15" i="176" s="1"/>
  <c r="A16" i="176" s="1"/>
  <c r="A17" i="176" s="1"/>
  <c r="A18" i="176" s="1"/>
  <c r="A19" i="176" s="1"/>
  <c r="B5" i="176"/>
  <c r="I14" i="177" l="1"/>
  <c r="I15" i="177" s="1"/>
  <c r="I16" i="177" s="1"/>
  <c r="I17" i="177" s="1"/>
  <c r="I18" i="177" s="1"/>
  <c r="I19" i="177" s="1"/>
  <c r="I20" i="177" s="1"/>
  <c r="I21" i="177" s="1"/>
  <c r="I22" i="177" s="1"/>
  <c r="I23" i="177" s="1"/>
  <c r="I24" i="177" s="1"/>
  <c r="I25" i="177" s="1"/>
  <c r="I26" i="177" s="1"/>
  <c r="I27" i="177" s="1"/>
  <c r="I28" i="177" s="1"/>
  <c r="I29" i="177" s="1"/>
  <c r="I30" i="177" s="1"/>
  <c r="I31" i="177" s="1"/>
  <c r="I32" i="177" s="1"/>
  <c r="I33" i="177" s="1"/>
  <c r="I34" i="177" s="1"/>
  <c r="I35" i="177" s="1"/>
  <c r="H11" i="176"/>
  <c r="H12" i="176" s="1"/>
  <c r="H13" i="176" s="1"/>
  <c r="H14" i="176" s="1"/>
  <c r="H15" i="176" s="1"/>
  <c r="H16" i="176" s="1"/>
  <c r="H17" i="176" s="1"/>
  <c r="H18" i="176" s="1"/>
  <c r="H19" i="176" s="1"/>
  <c r="C35" i="177"/>
  <c r="E35" i="177"/>
  <c r="G18" i="177"/>
  <c r="G33" i="177"/>
  <c r="E16" i="176" s="1"/>
  <c r="G25" i="177"/>
  <c r="E15" i="176" s="1"/>
  <c r="E14" i="176" l="1"/>
  <c r="E17" i="176" s="1"/>
  <c r="G35" i="177"/>
  <c r="H43" i="174"/>
  <c r="F43" i="174"/>
  <c r="G43" i="174" s="1"/>
  <c r="E40" i="174"/>
  <c r="D40" i="174"/>
  <c r="H39" i="174"/>
  <c r="F39" i="174"/>
  <c r="G39" i="174" s="1"/>
  <c r="H38" i="174"/>
  <c r="F38" i="174"/>
  <c r="G38" i="174" s="1"/>
  <c r="H37" i="174"/>
  <c r="F37" i="174"/>
  <c r="E45" i="174"/>
  <c r="H30" i="174"/>
  <c r="H34" i="174" s="1"/>
  <c r="F30" i="174"/>
  <c r="K17" i="174"/>
  <c r="K18" i="174" s="1"/>
  <c r="K19" i="174" s="1"/>
  <c r="K20" i="174" s="1"/>
  <c r="K21" i="174" s="1"/>
  <c r="K22" i="174" s="1"/>
  <c r="K23" i="174" s="1"/>
  <c r="K24" i="174" s="1"/>
  <c r="K25" i="174" s="1"/>
  <c r="K26" i="174" s="1"/>
  <c r="K27" i="174" s="1"/>
  <c r="K28" i="174" s="1"/>
  <c r="K29" i="174" s="1"/>
  <c r="K30" i="174" s="1"/>
  <c r="K31" i="174" s="1"/>
  <c r="K32" i="174" s="1"/>
  <c r="A17" i="174"/>
  <c r="A18" i="174" s="1"/>
  <c r="A19" i="174" s="1"/>
  <c r="A20" i="174" s="1"/>
  <c r="A21" i="174" s="1"/>
  <c r="A22" i="174" s="1"/>
  <c r="A23" i="174" s="1"/>
  <c r="A24" i="174" s="1"/>
  <c r="A25" i="174" s="1"/>
  <c r="A26" i="174" s="1"/>
  <c r="A27" i="174" s="1"/>
  <c r="A28" i="174" s="1"/>
  <c r="A29" i="174" s="1"/>
  <c r="A30" i="174" s="1"/>
  <c r="A31" i="174" s="1"/>
  <c r="A32" i="174" s="1"/>
  <c r="I37" i="173"/>
  <c r="H37" i="173"/>
  <c r="G37" i="173"/>
  <c r="F37" i="173"/>
  <c r="E21" i="153" s="1"/>
  <c r="P14" i="173"/>
  <c r="P15" i="173" s="1"/>
  <c r="P16" i="173" s="1"/>
  <c r="P17" i="173" s="1"/>
  <c r="P18" i="173" s="1"/>
  <c r="P19" i="173" s="1"/>
  <c r="P20" i="173" s="1"/>
  <c r="P21" i="173" s="1"/>
  <c r="P22" i="173" s="1"/>
  <c r="P23" i="173" s="1"/>
  <c r="P24" i="173" s="1"/>
  <c r="P25" i="173" s="1"/>
  <c r="P26" i="173" s="1"/>
  <c r="P27" i="173" s="1"/>
  <c r="P28" i="173" s="1"/>
  <c r="P29" i="173" s="1"/>
  <c r="A14" i="173"/>
  <c r="A15" i="173" s="1"/>
  <c r="A16" i="173" s="1"/>
  <c r="A17" i="173" s="1"/>
  <c r="A18" i="173" s="1"/>
  <c r="A19" i="173" s="1"/>
  <c r="A20" i="173" s="1"/>
  <c r="A21" i="173" s="1"/>
  <c r="A22" i="173" s="1"/>
  <c r="A23" i="173" s="1"/>
  <c r="A24" i="173" s="1"/>
  <c r="A25" i="173" s="1"/>
  <c r="A26" i="173" s="1"/>
  <c r="A27" i="173" s="1"/>
  <c r="A28" i="173" s="1"/>
  <c r="A29" i="173" s="1"/>
  <c r="F43" i="172"/>
  <c r="G43" i="172" s="1"/>
  <c r="E40" i="172"/>
  <c r="D40" i="172"/>
  <c r="F39" i="172"/>
  <c r="G39" i="172" s="1"/>
  <c r="F38" i="172"/>
  <c r="G38" i="172" s="1"/>
  <c r="F37" i="172"/>
  <c r="G37" i="172" s="1"/>
  <c r="F34" i="172"/>
  <c r="F30" i="172"/>
  <c r="G30" i="172" s="1"/>
  <c r="K17" i="172"/>
  <c r="K18" i="172" s="1"/>
  <c r="K19" i="172" s="1"/>
  <c r="K20" i="172" s="1"/>
  <c r="K21" i="172" s="1"/>
  <c r="K22" i="172" s="1"/>
  <c r="K23" i="172" s="1"/>
  <c r="K24" i="172" s="1"/>
  <c r="K25" i="172" s="1"/>
  <c r="K26" i="172" s="1"/>
  <c r="K27" i="172" s="1"/>
  <c r="K28" i="172" s="1"/>
  <c r="K29" i="172" s="1"/>
  <c r="K30" i="172" s="1"/>
  <c r="K31" i="172" s="1"/>
  <c r="K32" i="172" s="1"/>
  <c r="A17" i="172"/>
  <c r="A18" i="172" s="1"/>
  <c r="A19" i="172" s="1"/>
  <c r="A20" i="172" s="1"/>
  <c r="A21" i="172" s="1"/>
  <c r="A22" i="172" s="1"/>
  <c r="A23" i="172" s="1"/>
  <c r="A24" i="172" s="1"/>
  <c r="A25" i="172" s="1"/>
  <c r="A26" i="172" s="1"/>
  <c r="A27" i="172" s="1"/>
  <c r="A28" i="172" s="1"/>
  <c r="A29" i="172" s="1"/>
  <c r="A30" i="172" s="1"/>
  <c r="A31" i="172" s="1"/>
  <c r="A32" i="172" s="1"/>
  <c r="K40" i="171"/>
  <c r="I37" i="171"/>
  <c r="H37" i="171"/>
  <c r="G37" i="171"/>
  <c r="F37" i="171"/>
  <c r="E37" i="171"/>
  <c r="D37" i="171"/>
  <c r="K36" i="171"/>
  <c r="K35" i="171"/>
  <c r="K34" i="171"/>
  <c r="K27" i="171"/>
  <c r="P14" i="171"/>
  <c r="P15" i="171" s="1"/>
  <c r="P16" i="171" s="1"/>
  <c r="P17" i="171" s="1"/>
  <c r="P18" i="171" s="1"/>
  <c r="P19" i="171" s="1"/>
  <c r="P20" i="171" s="1"/>
  <c r="P21" i="171" s="1"/>
  <c r="P22" i="171" s="1"/>
  <c r="P23" i="171" s="1"/>
  <c r="P24" i="171" s="1"/>
  <c r="P25" i="171" s="1"/>
  <c r="P26" i="171" s="1"/>
  <c r="P27" i="171" s="1"/>
  <c r="P28" i="171" s="1"/>
  <c r="P29" i="171" s="1"/>
  <c r="A14" i="171"/>
  <c r="A15" i="171" s="1"/>
  <c r="A16" i="171" s="1"/>
  <c r="A17" i="171" s="1"/>
  <c r="A18" i="171" s="1"/>
  <c r="A19" i="171" s="1"/>
  <c r="A20" i="171" s="1"/>
  <c r="A21" i="171" s="1"/>
  <c r="A22" i="171" s="1"/>
  <c r="A23" i="171" s="1"/>
  <c r="A24" i="171" s="1"/>
  <c r="A25" i="171" s="1"/>
  <c r="A26" i="171" s="1"/>
  <c r="A27" i="171" s="1"/>
  <c r="A28" i="171" s="1"/>
  <c r="C21" i="153" l="1"/>
  <c r="G42" i="173"/>
  <c r="G30" i="174"/>
  <c r="G34" i="174" s="1"/>
  <c r="F34" i="174"/>
  <c r="K31" i="171"/>
  <c r="I42" i="173"/>
  <c r="I44" i="173" s="1"/>
  <c r="H42" i="173"/>
  <c r="H44" i="173" s="1"/>
  <c r="G27" i="172"/>
  <c r="F27" i="172"/>
  <c r="K24" i="171"/>
  <c r="D45" i="172"/>
  <c r="D47" i="172" s="1"/>
  <c r="H42" i="171"/>
  <c r="H44" i="171" s="1"/>
  <c r="E45" i="172"/>
  <c r="E47" i="172" s="1"/>
  <c r="F42" i="173"/>
  <c r="F44" i="173" s="1"/>
  <c r="E19" i="176"/>
  <c r="G34" i="172"/>
  <c r="L15" i="173"/>
  <c r="F40" i="174"/>
  <c r="G37" i="174"/>
  <c r="G40" i="174" s="1"/>
  <c r="I38" i="174"/>
  <c r="L35" i="173" s="1"/>
  <c r="H40" i="174"/>
  <c r="H38" i="172"/>
  <c r="I38" i="172" s="1"/>
  <c r="L35" i="171" s="1"/>
  <c r="N35" i="171" s="1"/>
  <c r="F42" i="171"/>
  <c r="F44" i="171" s="1"/>
  <c r="G42" i="171"/>
  <c r="G44" i="171" s="1"/>
  <c r="E42" i="171"/>
  <c r="E44" i="171" s="1"/>
  <c r="I42" i="171"/>
  <c r="I44" i="171" s="1"/>
  <c r="D42" i="171"/>
  <c r="D44" i="171" s="1"/>
  <c r="K37" i="171"/>
  <c r="G40" i="172"/>
  <c r="E47" i="174"/>
  <c r="I43" i="174"/>
  <c r="L40" i="173" s="1"/>
  <c r="H37" i="172"/>
  <c r="H39" i="172"/>
  <c r="I39" i="172" s="1"/>
  <c r="L36" i="171" s="1"/>
  <c r="N36" i="171" s="1"/>
  <c r="H30" i="172"/>
  <c r="H34" i="172" s="1"/>
  <c r="G44" i="173"/>
  <c r="D45" i="174"/>
  <c r="D47" i="174" s="1"/>
  <c r="I39" i="174"/>
  <c r="L36" i="173" s="1"/>
  <c r="H43" i="172"/>
  <c r="I30" i="174"/>
  <c r="F40" i="172"/>
  <c r="F124" i="82" l="1"/>
  <c r="E36" i="173"/>
  <c r="M36" i="171"/>
  <c r="I24" i="152" s="1"/>
  <c r="M35" i="171"/>
  <c r="L27" i="173"/>
  <c r="I34" i="174"/>
  <c r="L29" i="173" s="1"/>
  <c r="F45" i="174"/>
  <c r="F47" i="174" s="1"/>
  <c r="L19" i="173"/>
  <c r="L16" i="173"/>
  <c r="M16" i="173" s="1"/>
  <c r="H27" i="172"/>
  <c r="F45" i="172"/>
  <c r="F47" i="172" s="1"/>
  <c r="I37" i="174"/>
  <c r="L34" i="173" s="1"/>
  <c r="G45" i="172"/>
  <c r="G47" i="172" s="1"/>
  <c r="K42" i="171"/>
  <c r="K44" i="171" s="1"/>
  <c r="H45" i="174"/>
  <c r="H47" i="174" s="1"/>
  <c r="E35" i="173"/>
  <c r="H40" i="172"/>
  <c r="I30" i="172"/>
  <c r="L27" i="171" s="1"/>
  <c r="I37" i="172"/>
  <c r="L34" i="171" s="1"/>
  <c r="G45" i="174"/>
  <c r="G47" i="174" s="1"/>
  <c r="I43" i="172"/>
  <c r="L40" i="171" s="1"/>
  <c r="M15" i="173" l="1"/>
  <c r="N16" i="173"/>
  <c r="D35" i="173"/>
  <c r="K35" i="173" s="1"/>
  <c r="M35" i="173" s="1"/>
  <c r="I23" i="152"/>
  <c r="N34" i="171"/>
  <c r="M34" i="171"/>
  <c r="N27" i="171"/>
  <c r="E27" i="173" s="1"/>
  <c r="E31" i="173" s="1"/>
  <c r="M27" i="171"/>
  <c r="N40" i="171"/>
  <c r="M40" i="171"/>
  <c r="N19" i="173"/>
  <c r="M19" i="173"/>
  <c r="N15" i="173"/>
  <c r="N17" i="173"/>
  <c r="M17" i="173"/>
  <c r="M29" i="173"/>
  <c r="N30" i="173"/>
  <c r="M30" i="173"/>
  <c r="N29" i="173"/>
  <c r="I40" i="174"/>
  <c r="I45" i="174" s="1"/>
  <c r="I47" i="174" s="1"/>
  <c r="L31" i="173"/>
  <c r="L22" i="173"/>
  <c r="I34" i="172"/>
  <c r="L31" i="171"/>
  <c r="L24" i="171"/>
  <c r="I27" i="172"/>
  <c r="L37" i="173"/>
  <c r="G33" i="152"/>
  <c r="E24" i="173"/>
  <c r="L37" i="171"/>
  <c r="H45" i="172"/>
  <c r="H47" i="172" s="1"/>
  <c r="I28" i="152"/>
  <c r="I33" i="152" s="1"/>
  <c r="D36" i="173"/>
  <c r="I40" i="172"/>
  <c r="G13" i="151" l="1"/>
  <c r="E13" i="151"/>
  <c r="N35" i="173"/>
  <c r="E40" i="173"/>
  <c r="N37" i="171"/>
  <c r="G21" i="152" s="1"/>
  <c r="D34" i="173"/>
  <c r="D37" i="173" s="1"/>
  <c r="M37" i="171"/>
  <c r="E21" i="152" s="1"/>
  <c r="E25" i="152" s="1"/>
  <c r="M22" i="173"/>
  <c r="N22" i="173"/>
  <c r="N21" i="173"/>
  <c r="M21" i="173"/>
  <c r="L42" i="173"/>
  <c r="L24" i="173"/>
  <c r="M31" i="171"/>
  <c r="E14" i="152"/>
  <c r="L42" i="171"/>
  <c r="I45" i="172"/>
  <c r="I47" i="172" s="1"/>
  <c r="G14" i="152"/>
  <c r="I22" i="151"/>
  <c r="K36" i="173"/>
  <c r="M24" i="171"/>
  <c r="H61" i="171" s="1"/>
  <c r="K61" i="171" s="1"/>
  <c r="N24" i="171"/>
  <c r="D27" i="173"/>
  <c r="D31" i="173" s="1"/>
  <c r="I61" i="171" l="1"/>
  <c r="L61" i="171" s="1"/>
  <c r="G25" i="152"/>
  <c r="I22" i="152"/>
  <c r="N36" i="173"/>
  <c r="M36" i="173"/>
  <c r="N24" i="173"/>
  <c r="I61" i="173" s="1"/>
  <c r="L61" i="173" s="1"/>
  <c r="M24" i="173"/>
  <c r="H61" i="173" s="1"/>
  <c r="K61" i="173" s="1"/>
  <c r="E28" i="151"/>
  <c r="G28" i="151"/>
  <c r="G33" i="151" s="1"/>
  <c r="I14" i="152"/>
  <c r="L44" i="173"/>
  <c r="N31" i="171"/>
  <c r="G18" i="152"/>
  <c r="I13" i="152"/>
  <c r="D24" i="173"/>
  <c r="D40" i="173"/>
  <c r="K40" i="173" s="1"/>
  <c r="K27" i="173"/>
  <c r="E34" i="173"/>
  <c r="L44" i="171"/>
  <c r="H39" i="117"/>
  <c r="F19" i="42"/>
  <c r="F16" i="42"/>
  <c r="E24" i="40" s="1"/>
  <c r="D26" i="42"/>
  <c r="F24" i="42"/>
  <c r="F23" i="42"/>
  <c r="F21" i="42"/>
  <c r="F20" i="42"/>
  <c r="F18" i="42"/>
  <c r="F17" i="42"/>
  <c r="F15" i="42"/>
  <c r="F13" i="42"/>
  <c r="F12" i="42"/>
  <c r="A12" i="42"/>
  <c r="A13" i="42" s="1"/>
  <c r="A14" i="42" s="1"/>
  <c r="A15" i="42" s="1"/>
  <c r="A16" i="42" s="1"/>
  <c r="H11" i="42"/>
  <c r="H12" i="42" s="1"/>
  <c r="H13" i="42" s="1"/>
  <c r="H14" i="42" s="1"/>
  <c r="H15" i="42" s="1"/>
  <c r="H16" i="42" s="1"/>
  <c r="H17" i="42" s="1"/>
  <c r="H18" i="42" s="1"/>
  <c r="H19" i="42" s="1"/>
  <c r="F11" i="42"/>
  <c r="A17" i="42" l="1"/>
  <c r="A18" i="42" s="1"/>
  <c r="K31" i="173"/>
  <c r="M27" i="173"/>
  <c r="M31" i="173" s="1"/>
  <c r="N27" i="173"/>
  <c r="N31" i="173" s="1"/>
  <c r="M40" i="173"/>
  <c r="N40" i="173"/>
  <c r="I21" i="152"/>
  <c r="I25" i="152" s="1"/>
  <c r="G35" i="152"/>
  <c r="I28" i="151"/>
  <c r="I33" i="151" s="1"/>
  <c r="M42" i="171"/>
  <c r="N42" i="171"/>
  <c r="D42" i="173"/>
  <c r="E37" i="173"/>
  <c r="E42" i="173" s="1"/>
  <c r="E44" i="173" s="1"/>
  <c r="K34" i="173"/>
  <c r="K24" i="173"/>
  <c r="F22" i="42"/>
  <c r="E26" i="42"/>
  <c r="E19" i="40" s="1"/>
  <c r="F14" i="42"/>
  <c r="F26" i="42" l="1"/>
  <c r="N44" i="171"/>
  <c r="I62" i="171"/>
  <c r="L62" i="171" s="1"/>
  <c r="M44" i="171"/>
  <c r="H62" i="171"/>
  <c r="K62" i="171" s="1"/>
  <c r="M34" i="173"/>
  <c r="M37" i="173" s="1"/>
  <c r="M42" i="173" s="1"/>
  <c r="N34" i="173"/>
  <c r="N37" i="173" s="1"/>
  <c r="N42" i="173" s="1"/>
  <c r="N45" i="171"/>
  <c r="G14" i="151"/>
  <c r="D44" i="173"/>
  <c r="E14" i="151"/>
  <c r="K37" i="173"/>
  <c r="K42" i="173" s="1"/>
  <c r="A19" i="42"/>
  <c r="A20" i="42" s="1"/>
  <c r="A21" i="42" s="1"/>
  <c r="A22" i="42" s="1"/>
  <c r="A23" i="42" s="1"/>
  <c r="A24" i="42" s="1"/>
  <c r="H20" i="42"/>
  <c r="H21" i="42" s="1"/>
  <c r="H22" i="42" s="1"/>
  <c r="H23" i="42" s="1"/>
  <c r="H24" i="42" s="1"/>
  <c r="H25" i="42" s="1"/>
  <c r="H26" i="42" s="1"/>
  <c r="H27" i="42" s="1"/>
  <c r="H28" i="42" s="1"/>
  <c r="H29" i="42" s="1"/>
  <c r="N44" i="173" l="1"/>
  <c r="I62" i="173"/>
  <c r="L62" i="173" s="1"/>
  <c r="M44" i="173"/>
  <c r="H62" i="173"/>
  <c r="K62" i="173" s="1"/>
  <c r="I14" i="151"/>
  <c r="G18" i="151"/>
  <c r="K44" i="173"/>
  <c r="G26" i="42"/>
  <c r="A25" i="42"/>
  <c r="A26" i="42" s="1"/>
  <c r="A27" i="42" s="1"/>
  <c r="A28" i="42" s="1"/>
  <c r="A29" i="42" s="1"/>
  <c r="E21" i="151" l="1"/>
  <c r="E25" i="151" s="1"/>
  <c r="G21" i="151"/>
  <c r="G25" i="151" s="1"/>
  <c r="G35" i="151" s="1"/>
  <c r="N45" i="173" s="1"/>
  <c r="I13" i="151"/>
  <c r="I21" i="151" l="1"/>
  <c r="E16" i="141" l="1"/>
  <c r="F16" i="141"/>
  <c r="E17" i="141"/>
  <c r="E18" i="141"/>
  <c r="E19" i="141"/>
  <c r="E20" i="141"/>
  <c r="E21" i="141"/>
  <c r="E22" i="141"/>
  <c r="E23" i="141"/>
  <c r="E24" i="141"/>
  <c r="E25" i="141"/>
  <c r="E26" i="141"/>
  <c r="E27" i="141"/>
  <c r="B4" i="141"/>
  <c r="I10" i="141"/>
  <c r="I11" i="141" s="1"/>
  <c r="I12" i="141" s="1"/>
  <c r="I13" i="141" s="1"/>
  <c r="I14" i="141" s="1"/>
  <c r="I15" i="141" s="1"/>
  <c r="I16" i="141" s="1"/>
  <c r="I17" i="141" s="1"/>
  <c r="I18" i="141" s="1"/>
  <c r="I19" i="141" s="1"/>
  <c r="I20" i="141" s="1"/>
  <c r="I21" i="141" s="1"/>
  <c r="I22" i="141" s="1"/>
  <c r="I23" i="141" s="1"/>
  <c r="I24" i="141" s="1"/>
  <c r="I25" i="141" s="1"/>
  <c r="I26" i="141" s="1"/>
  <c r="I27" i="141" s="1"/>
  <c r="I28" i="141" s="1"/>
  <c r="A11" i="141"/>
  <c r="A12" i="141" s="1"/>
  <c r="A13" i="141" s="1"/>
  <c r="A14" i="141" s="1"/>
  <c r="A15" i="141" s="1"/>
  <c r="A16" i="141" s="1"/>
  <c r="A17" i="141" s="1"/>
  <c r="A18" i="141" s="1"/>
  <c r="A19" i="141" s="1"/>
  <c r="A20" i="141" s="1"/>
  <c r="A21" i="141" s="1"/>
  <c r="A22" i="141" s="1"/>
  <c r="A23" i="141" s="1"/>
  <c r="A24" i="141" s="1"/>
  <c r="A25" i="141" s="1"/>
  <c r="A26" i="141" s="1"/>
  <c r="A27" i="141" s="1"/>
  <c r="A28" i="141" s="1"/>
  <c r="E35" i="140"/>
  <c r="G34" i="140"/>
  <c r="F34" i="140"/>
  <c r="G33" i="140"/>
  <c r="F33" i="140"/>
  <c r="G32" i="140"/>
  <c r="F32" i="140"/>
  <c r="G31" i="140"/>
  <c r="F31" i="140"/>
  <c r="G30" i="140"/>
  <c r="F30" i="140"/>
  <c r="G29" i="140"/>
  <c r="F29" i="140"/>
  <c r="G28" i="140"/>
  <c r="F28" i="140"/>
  <c r="G27" i="140"/>
  <c r="F27" i="140"/>
  <c r="G26" i="140"/>
  <c r="F26" i="140"/>
  <c r="G25" i="140"/>
  <c r="F25" i="140"/>
  <c r="G24" i="140"/>
  <c r="F24" i="140"/>
  <c r="C23" i="140"/>
  <c r="A11" i="140"/>
  <c r="A12" i="140" s="1"/>
  <c r="A13" i="140" s="1"/>
  <c r="A14" i="140" s="1"/>
  <c r="A15" i="140" s="1"/>
  <c r="A16" i="140" s="1"/>
  <c r="A17" i="140" s="1"/>
  <c r="A18" i="140" s="1"/>
  <c r="A19" i="140" s="1"/>
  <c r="A20" i="140" s="1"/>
  <c r="A21" i="140" s="1"/>
  <c r="A22" i="140" s="1"/>
  <c r="A23" i="140" s="1"/>
  <c r="A24" i="140" s="1"/>
  <c r="A25" i="140" s="1"/>
  <c r="A26" i="140" s="1"/>
  <c r="A27" i="140" s="1"/>
  <c r="A28" i="140" s="1"/>
  <c r="A29" i="140" s="1"/>
  <c r="A30" i="140" s="1"/>
  <c r="A31" i="140" s="1"/>
  <c r="A32" i="140" s="1"/>
  <c r="A33" i="140" s="1"/>
  <c r="A34" i="140" s="1"/>
  <c r="A35" i="140" s="1"/>
  <c r="N10" i="140"/>
  <c r="N11" i="140" s="1"/>
  <c r="N12" i="140" s="1"/>
  <c r="N13" i="140" s="1"/>
  <c r="N14" i="140" s="1"/>
  <c r="N15" i="140" s="1"/>
  <c r="N16" i="140" s="1"/>
  <c r="N17" i="140" s="1"/>
  <c r="N18" i="140" s="1"/>
  <c r="N19" i="140" s="1"/>
  <c r="N20" i="140" s="1"/>
  <c r="N21" i="140" s="1"/>
  <c r="N22" i="140" s="1"/>
  <c r="C17" i="113"/>
  <c r="C15" i="113"/>
  <c r="C19" i="113" s="1"/>
  <c r="C30" i="183" s="1"/>
  <c r="C33" i="183" s="1"/>
  <c r="A12" i="113"/>
  <c r="A13" i="113" s="1"/>
  <c r="A14" i="113" s="1"/>
  <c r="A15" i="113" s="1"/>
  <c r="A16" i="113" s="1"/>
  <c r="A17" i="113" s="1"/>
  <c r="A18" i="113" s="1"/>
  <c r="A19" i="113" s="1"/>
  <c r="A20" i="113" s="1"/>
  <c r="E11" i="113"/>
  <c r="E12" i="113" s="1"/>
  <c r="E13" i="113" s="1"/>
  <c r="E14" i="113" s="1"/>
  <c r="E15" i="113" s="1"/>
  <c r="E16" i="113" s="1"/>
  <c r="E17" i="113" s="1"/>
  <c r="E18" i="113" s="1"/>
  <c r="E19" i="113" s="1"/>
  <c r="E20" i="113" s="1"/>
  <c r="P48" i="79"/>
  <c r="P47" i="79"/>
  <c r="O47" i="79"/>
  <c r="P46" i="79"/>
  <c r="P45" i="79"/>
  <c r="O45" i="79"/>
  <c r="P44" i="79"/>
  <c r="P43" i="79"/>
  <c r="O43" i="79"/>
  <c r="P39" i="79"/>
  <c r="W36" i="79"/>
  <c r="V36" i="79"/>
  <c r="U36" i="79"/>
  <c r="T36" i="79"/>
  <c r="S36" i="79"/>
  <c r="R36" i="79"/>
  <c r="L36" i="79"/>
  <c r="K36" i="79"/>
  <c r="J36" i="79"/>
  <c r="I36" i="79"/>
  <c r="H36" i="79"/>
  <c r="G36" i="79"/>
  <c r="F36" i="79"/>
  <c r="X33" i="79"/>
  <c r="X36" i="79" s="1"/>
  <c r="E21" i="77" s="1"/>
  <c r="Q33" i="79"/>
  <c r="W31" i="79"/>
  <c r="V31" i="79"/>
  <c r="U31" i="79"/>
  <c r="T31" i="79"/>
  <c r="S31" i="79"/>
  <c r="L31" i="79"/>
  <c r="K31" i="79"/>
  <c r="J31" i="79"/>
  <c r="I31" i="79"/>
  <c r="H31" i="79"/>
  <c r="G31" i="79"/>
  <c r="F31" i="79"/>
  <c r="X29" i="79"/>
  <c r="R29" i="79"/>
  <c r="Q29" i="79"/>
  <c r="P29" i="79"/>
  <c r="X27" i="79"/>
  <c r="R27" i="79"/>
  <c r="Q27" i="79"/>
  <c r="P27" i="79"/>
  <c r="X25" i="79"/>
  <c r="R25" i="79"/>
  <c r="Q25" i="79"/>
  <c r="P25" i="79"/>
  <c r="X24" i="79"/>
  <c r="R24" i="79"/>
  <c r="Q24" i="79"/>
  <c r="P24" i="79"/>
  <c r="X23" i="79"/>
  <c r="R23" i="79"/>
  <c r="Q23" i="79"/>
  <c r="P23" i="79"/>
  <c r="X22" i="79"/>
  <c r="R22" i="79"/>
  <c r="Q22" i="79"/>
  <c r="P22" i="79"/>
  <c r="X21" i="79"/>
  <c r="R21" i="79"/>
  <c r="Q21" i="79"/>
  <c r="P21" i="79"/>
  <c r="X20" i="79"/>
  <c r="R20" i="79"/>
  <c r="Q20" i="79"/>
  <c r="P20" i="79"/>
  <c r="R19" i="79"/>
  <c r="Q19" i="79"/>
  <c r="P19" i="79"/>
  <c r="R17" i="79"/>
  <c r="Q17" i="79"/>
  <c r="P17" i="79"/>
  <c r="X12" i="79"/>
  <c r="B12" i="79"/>
  <c r="X11" i="79"/>
  <c r="O11" i="79"/>
  <c r="M11" i="79"/>
  <c r="Y8" i="79"/>
  <c r="R8" i="79"/>
  <c r="Q8" i="79"/>
  <c r="P8" i="79"/>
  <c r="O8" i="79"/>
  <c r="Y7" i="79"/>
  <c r="Q7" i="79"/>
  <c r="P7" i="79"/>
  <c r="O7" i="79"/>
  <c r="F26" i="61"/>
  <c r="F25" i="61"/>
  <c r="F24" i="61"/>
  <c r="F23" i="61"/>
  <c r="F22" i="61"/>
  <c r="F21" i="61"/>
  <c r="F20" i="61"/>
  <c r="F19" i="61"/>
  <c r="F18" i="61"/>
  <c r="F17" i="61"/>
  <c r="F16" i="61"/>
  <c r="F15" i="61"/>
  <c r="A15" i="61"/>
  <c r="A16" i="61" s="1"/>
  <c r="A17" i="61" s="1"/>
  <c r="A18" i="61" s="1"/>
  <c r="A19" i="61" s="1"/>
  <c r="A20" i="61" s="1"/>
  <c r="A21" i="61" s="1"/>
  <c r="A22" i="61" s="1"/>
  <c r="A23" i="61" s="1"/>
  <c r="A24" i="61" s="1"/>
  <c r="A25" i="61" s="1"/>
  <c r="A26" i="61" s="1"/>
  <c r="A27" i="61" s="1"/>
  <c r="G14" i="61"/>
  <c r="G15" i="61" s="1"/>
  <c r="G16" i="61" s="1"/>
  <c r="G17" i="61" s="1"/>
  <c r="G18" i="61" s="1"/>
  <c r="G19" i="61" s="1"/>
  <c r="G20" i="61" s="1"/>
  <c r="G21" i="61" s="1"/>
  <c r="G22" i="61" s="1"/>
  <c r="G23" i="61" s="1"/>
  <c r="G24" i="61" s="1"/>
  <c r="G25" i="61" s="1"/>
  <c r="G26" i="61" s="1"/>
  <c r="G27" i="61" s="1"/>
  <c r="F14" i="61"/>
  <c r="F27" i="57"/>
  <c r="F26" i="57"/>
  <c r="F25" i="57"/>
  <c r="F24" i="57"/>
  <c r="F22" i="57"/>
  <c r="F21" i="57"/>
  <c r="F20" i="57"/>
  <c r="F19" i="57"/>
  <c r="F18" i="57"/>
  <c r="F17" i="57"/>
  <c r="F16" i="57"/>
  <c r="F15" i="57"/>
  <c r="A15" i="57"/>
  <c r="A16" i="57" s="1"/>
  <c r="A17" i="57" s="1"/>
  <c r="A18" i="57" s="1"/>
  <c r="A19" i="57" s="1"/>
  <c r="A20" i="57" s="1"/>
  <c r="A21" i="57" s="1"/>
  <c r="A22" i="57" s="1"/>
  <c r="G14" i="57"/>
  <c r="G15" i="57" s="1"/>
  <c r="G16" i="57" s="1"/>
  <c r="G17" i="57" s="1"/>
  <c r="G18" i="57" s="1"/>
  <c r="G19" i="57" s="1"/>
  <c r="G20" i="57" s="1"/>
  <c r="G21" i="57" s="1"/>
  <c r="G22" i="57" s="1"/>
  <c r="F14" i="57"/>
  <c r="G124" i="178" l="1"/>
  <c r="G136" i="178" s="1"/>
  <c r="F113" i="82"/>
  <c r="N23" i="140"/>
  <c r="N24" i="140" s="1"/>
  <c r="N25" i="140" s="1"/>
  <c r="N26" i="140" s="1"/>
  <c r="N27" i="140" s="1"/>
  <c r="N28" i="140" s="1"/>
  <c r="N29" i="140" s="1"/>
  <c r="N30" i="140" s="1"/>
  <c r="N31" i="140" s="1"/>
  <c r="N32" i="140" s="1"/>
  <c r="N33" i="140" s="1"/>
  <c r="N34" i="140" s="1"/>
  <c r="N35" i="140" s="1"/>
  <c r="C34" i="140"/>
  <c r="C16" i="142"/>
  <c r="X15" i="79"/>
  <c r="B13" i="79"/>
  <c r="O13" i="79" s="1"/>
  <c r="M12" i="79"/>
  <c r="U39" i="79"/>
  <c r="X31" i="79"/>
  <c r="E19" i="77" s="1"/>
  <c r="L39" i="79"/>
  <c r="H39" i="79"/>
  <c r="S39" i="79"/>
  <c r="F39" i="79"/>
  <c r="J39" i="79"/>
  <c r="W39" i="79"/>
  <c r="G39" i="79"/>
  <c r="K39" i="79"/>
  <c r="H34" i="140"/>
  <c r="H25" i="140"/>
  <c r="H29" i="140"/>
  <c r="H24" i="140"/>
  <c r="H33" i="140"/>
  <c r="H26" i="140"/>
  <c r="H32" i="140"/>
  <c r="H27" i="140"/>
  <c r="O12" i="79"/>
  <c r="V39" i="79"/>
  <c r="C29" i="140"/>
  <c r="H30" i="140"/>
  <c r="I39" i="79"/>
  <c r="T39" i="79"/>
  <c r="C25" i="140"/>
  <c r="H28" i="140"/>
  <c r="H31" i="140"/>
  <c r="C16" i="141"/>
  <c r="G16" i="141"/>
  <c r="H16" i="141" s="1"/>
  <c r="C33" i="140"/>
  <c r="C24" i="140"/>
  <c r="C28" i="140"/>
  <c r="C32" i="140"/>
  <c r="C27" i="140"/>
  <c r="C31" i="140"/>
  <c r="C26" i="140"/>
  <c r="C30" i="140"/>
  <c r="M13" i="79" l="1"/>
  <c r="B14" i="79"/>
  <c r="X39" i="79"/>
  <c r="H35" i="140"/>
  <c r="C17" i="141"/>
  <c r="C21" i="141"/>
  <c r="C25" i="141"/>
  <c r="C18" i="141"/>
  <c r="C22" i="141"/>
  <c r="C26" i="141"/>
  <c r="C19" i="141"/>
  <c r="C23" i="141"/>
  <c r="C27" i="141"/>
  <c r="C20" i="141"/>
  <c r="C24" i="141"/>
  <c r="F17" i="141"/>
  <c r="B15" i="79" l="1"/>
  <c r="M15" i="79" s="1"/>
  <c r="M14" i="79"/>
  <c r="O14" i="79"/>
  <c r="G17" i="141"/>
  <c r="B16" i="79" l="1"/>
  <c r="M16" i="79" s="1"/>
  <c r="O15" i="79"/>
  <c r="H17" i="141"/>
  <c r="B17" i="79" l="1"/>
  <c r="B18" i="79" s="1"/>
  <c r="O16" i="79"/>
  <c r="F18" i="141"/>
  <c r="B19" i="79" l="1"/>
  <c r="O18" i="79"/>
  <c r="M18" i="79"/>
  <c r="M17" i="79"/>
  <c r="O17" i="79"/>
  <c r="G18" i="141"/>
  <c r="B20" i="79" l="1"/>
  <c r="M19" i="79"/>
  <c r="O19" i="79"/>
  <c r="H18" i="141"/>
  <c r="B21" i="79" l="1"/>
  <c r="M20" i="79"/>
  <c r="O20" i="79"/>
  <c r="F19" i="141"/>
  <c r="G19" i="141" s="1"/>
  <c r="B22" i="79" l="1"/>
  <c r="M21" i="79"/>
  <c r="O21" i="79"/>
  <c r="H19" i="141"/>
  <c r="B23" i="79" l="1"/>
  <c r="O22" i="79"/>
  <c r="M22" i="79"/>
  <c r="F20" i="141"/>
  <c r="G20" i="141" s="1"/>
  <c r="B24" i="79" l="1"/>
  <c r="O23" i="79"/>
  <c r="M23" i="79"/>
  <c r="H20" i="141"/>
  <c r="B25" i="79" l="1"/>
  <c r="O24" i="79"/>
  <c r="M24" i="79"/>
  <c r="F21" i="141"/>
  <c r="B26" i="79" l="1"/>
  <c r="M25" i="79"/>
  <c r="O25" i="79"/>
  <c r="G21" i="141"/>
  <c r="H21" i="141" s="1"/>
  <c r="B27" i="79" l="1"/>
  <c r="O26" i="79"/>
  <c r="M26" i="79"/>
  <c r="F22" i="141"/>
  <c r="M27" i="79" l="1"/>
  <c r="O27" i="79"/>
  <c r="G22" i="141"/>
  <c r="H22" i="141" s="1"/>
  <c r="M29" i="79" l="1"/>
  <c r="O29" i="79"/>
  <c r="F23" i="141"/>
  <c r="G23" i="141" s="1"/>
  <c r="M30" i="79" l="1"/>
  <c r="O30" i="79"/>
  <c r="H23" i="141"/>
  <c r="O31" i="79" l="1"/>
  <c r="M31" i="79"/>
  <c r="F24" i="141"/>
  <c r="G24" i="141"/>
  <c r="O32" i="79" l="1"/>
  <c r="M32" i="79"/>
  <c r="H24" i="141"/>
  <c r="O33" i="79" l="1"/>
  <c r="M33" i="79"/>
  <c r="F25" i="141"/>
  <c r="M34" i="79" l="1"/>
  <c r="O34" i="79"/>
  <c r="G25" i="141"/>
  <c r="H25" i="141" s="1"/>
  <c r="M35" i="79" l="1"/>
  <c r="O35" i="79"/>
  <c r="F26" i="141"/>
  <c r="M36" i="79" l="1"/>
  <c r="O36" i="79"/>
  <c r="G26" i="141"/>
  <c r="H26" i="141" s="1"/>
  <c r="M37" i="79" l="1"/>
  <c r="O37" i="79"/>
  <c r="F27" i="141"/>
  <c r="G27" i="141" s="1"/>
  <c r="G28" i="141" s="1"/>
  <c r="M38" i="79" l="1"/>
  <c r="O38" i="79"/>
  <c r="H27" i="141"/>
  <c r="O39" i="79" l="1"/>
  <c r="M39" i="79"/>
  <c r="B5" i="133"/>
  <c r="B5" i="22"/>
  <c r="I14" i="9"/>
  <c r="I15" i="9" s="1"/>
  <c r="I16" i="9" s="1"/>
  <c r="I17" i="9" s="1"/>
  <c r="I18" i="9" s="1"/>
  <c r="I19" i="9" s="1"/>
  <c r="I20" i="9" s="1"/>
  <c r="I21" i="9" s="1"/>
  <c r="I22" i="9" s="1"/>
  <c r="I23" i="9" s="1"/>
  <c r="I24" i="9" s="1"/>
  <c r="I25" i="9" s="1"/>
  <c r="I26" i="9" s="1"/>
  <c r="I15" i="8"/>
  <c r="I16" i="8" s="1"/>
  <c r="I17" i="8" s="1"/>
  <c r="I14" i="7"/>
  <c r="I15" i="7" s="1"/>
  <c r="I16" i="7" s="1"/>
  <c r="I17" i="7" s="1"/>
  <c r="I18" i="7" s="1"/>
  <c r="I19" i="7" s="1"/>
  <c r="I20" i="7" s="1"/>
  <c r="I21" i="7" s="1"/>
  <c r="I22" i="7" s="1"/>
  <c r="I23" i="7" s="1"/>
  <c r="I24" i="7" s="1"/>
  <c r="I25" i="7" s="1"/>
  <c r="I26" i="7" s="1"/>
  <c r="E28" i="6"/>
  <c r="E31" i="6" s="1"/>
  <c r="C28" i="6"/>
  <c r="C31" i="6" s="1"/>
  <c r="E28" i="5"/>
  <c r="E31" i="5" s="1"/>
  <c r="C28" i="5"/>
  <c r="C31" i="5" s="1"/>
  <c r="O40" i="79" l="1"/>
  <c r="M40" i="79"/>
  <c r="E34" i="117"/>
  <c r="E33" i="117"/>
  <c r="E32" i="117"/>
  <c r="E31" i="117"/>
  <c r="E30" i="117"/>
  <c r="E29" i="117"/>
  <c r="E28" i="117"/>
  <c r="E27" i="117"/>
  <c r="E26" i="117"/>
  <c r="E25" i="117"/>
  <c r="E24" i="117"/>
  <c r="E23" i="117"/>
  <c r="E22" i="117"/>
  <c r="E21" i="117"/>
  <c r="E20" i="117"/>
  <c r="E19" i="117"/>
  <c r="E18" i="117"/>
  <c r="E17" i="117"/>
  <c r="E16" i="117"/>
  <c r="E15" i="117"/>
  <c r="E14" i="117"/>
  <c r="E13" i="117"/>
  <c r="E12" i="117"/>
  <c r="E11" i="117"/>
  <c r="D35" i="117"/>
  <c r="C35" i="117"/>
  <c r="G13" i="116"/>
  <c r="J13" i="116" s="1"/>
  <c r="N13" i="116" s="1"/>
  <c r="C35" i="116"/>
  <c r="D35" i="116"/>
  <c r="E34" i="116"/>
  <c r="E12" i="116"/>
  <c r="E11" i="116"/>
  <c r="D38" i="86"/>
  <c r="E36" i="86"/>
  <c r="F36" i="86"/>
  <c r="G13" i="157"/>
  <c r="F13" i="157"/>
  <c r="F14" i="157" s="1"/>
  <c r="D16" i="142"/>
  <c r="D37" i="82"/>
  <c r="F26" i="82"/>
  <c r="C33" i="153"/>
  <c r="E33" i="153"/>
  <c r="G28" i="153"/>
  <c r="C25" i="153"/>
  <c r="E25" i="153"/>
  <c r="G21" i="153"/>
  <c r="G17" i="153"/>
  <c r="G16" i="153"/>
  <c r="G14" i="153"/>
  <c r="E18" i="153"/>
  <c r="C18" i="153"/>
  <c r="E13" i="74"/>
  <c r="E35" i="144" s="1"/>
  <c r="E28" i="73"/>
  <c r="E31" i="73" s="1"/>
  <c r="C28" i="73"/>
  <c r="C31" i="73" s="1"/>
  <c r="C27" i="71"/>
  <c r="C30" i="71" s="1"/>
  <c r="C29" i="70"/>
  <c r="C32" i="70" s="1"/>
  <c r="E36" i="69"/>
  <c r="F28" i="63"/>
  <c r="D28" i="63"/>
  <c r="D15" i="59"/>
  <c r="E17" i="194" s="1"/>
  <c r="E25" i="194" s="1"/>
  <c r="J36" i="48"/>
  <c r="J35" i="48"/>
  <c r="J34" i="48"/>
  <c r="J33" i="48"/>
  <c r="J32" i="48"/>
  <c r="J31" i="48"/>
  <c r="J30" i="48"/>
  <c r="J29" i="48"/>
  <c r="J25" i="48"/>
  <c r="J21" i="48"/>
  <c r="J20" i="48"/>
  <c r="J19" i="48"/>
  <c r="J18" i="48"/>
  <c r="J17" i="48"/>
  <c r="J16" i="48"/>
  <c r="I38" i="48"/>
  <c r="H38" i="48"/>
  <c r="G38" i="48"/>
  <c r="F38" i="48"/>
  <c r="E38" i="48"/>
  <c r="D38" i="48"/>
  <c r="E18" i="40"/>
  <c r="E22" i="40" s="1"/>
  <c r="F39" i="41"/>
  <c r="F38" i="41"/>
  <c r="F37" i="41"/>
  <c r="F36" i="41"/>
  <c r="F35" i="41"/>
  <c r="F34" i="41"/>
  <c r="F33" i="41"/>
  <c r="F32" i="41"/>
  <c r="F31" i="41"/>
  <c r="F30" i="41"/>
  <c r="E41" i="41"/>
  <c r="D41" i="41"/>
  <c r="F25" i="41"/>
  <c r="F23" i="41"/>
  <c r="F22" i="41"/>
  <c r="F21" i="41"/>
  <c r="F20" i="41"/>
  <c r="F19" i="41"/>
  <c r="F18" i="41"/>
  <c r="F17" i="41"/>
  <c r="F16" i="41"/>
  <c r="F15" i="41"/>
  <c r="F14" i="41"/>
  <c r="F13" i="41"/>
  <c r="F12" i="41"/>
  <c r="F11" i="41"/>
  <c r="D27" i="41"/>
  <c r="E23" i="40"/>
  <c r="D16" i="135"/>
  <c r="C16" i="135"/>
  <c r="E12" i="135"/>
  <c r="E16" i="135" s="1"/>
  <c r="C28" i="109"/>
  <c r="C31" i="109" s="1"/>
  <c r="G15" i="36"/>
  <c r="G13" i="36"/>
  <c r="G11" i="36"/>
  <c r="C33" i="151"/>
  <c r="E33" i="151"/>
  <c r="C25" i="151"/>
  <c r="I25" i="151"/>
  <c r="E18" i="151"/>
  <c r="C18" i="151"/>
  <c r="E33" i="152"/>
  <c r="C33" i="152"/>
  <c r="E18" i="152"/>
  <c r="C18" i="152"/>
  <c r="E28" i="30"/>
  <c r="E31" i="30" s="1"/>
  <c r="C28" i="30"/>
  <c r="C31" i="30" s="1"/>
  <c r="C19" i="26"/>
  <c r="C19" i="25"/>
  <c r="K20" i="24"/>
  <c r="K19" i="24"/>
  <c r="K18" i="24"/>
  <c r="K17" i="24"/>
  <c r="K16" i="24"/>
  <c r="J37" i="24"/>
  <c r="H37" i="24"/>
  <c r="G37" i="24"/>
  <c r="F37" i="24"/>
  <c r="E37" i="24"/>
  <c r="D37" i="24"/>
  <c r="K35" i="136"/>
  <c r="K34" i="136"/>
  <c r="K33" i="136"/>
  <c r="K32" i="136"/>
  <c r="K31" i="136"/>
  <c r="K30" i="136"/>
  <c r="K29" i="136"/>
  <c r="K28" i="136"/>
  <c r="K24" i="136"/>
  <c r="K20" i="136"/>
  <c r="K19" i="136"/>
  <c r="K18" i="136"/>
  <c r="K17" i="136"/>
  <c r="K16" i="136"/>
  <c r="J37" i="136"/>
  <c r="I37" i="136"/>
  <c r="H37" i="136"/>
  <c r="G37" i="136"/>
  <c r="F37" i="136"/>
  <c r="E37" i="136"/>
  <c r="D37" i="136"/>
  <c r="D22" i="136"/>
  <c r="F28" i="23"/>
  <c r="F31" i="23" s="1"/>
  <c r="C28" i="23"/>
  <c r="C31" i="23" s="1"/>
  <c r="C19" i="13"/>
  <c r="C19" i="3"/>
  <c r="E29" i="12"/>
  <c r="E32" i="12" s="1"/>
  <c r="C29" i="12"/>
  <c r="C32" i="12" s="1"/>
  <c r="K34" i="11"/>
  <c r="K33" i="11"/>
  <c r="K32" i="11"/>
  <c r="K31" i="11"/>
  <c r="K30" i="11"/>
  <c r="K29" i="11"/>
  <c r="K28" i="11"/>
  <c r="K27" i="11"/>
  <c r="K23" i="11"/>
  <c r="K19" i="11"/>
  <c r="K18" i="11"/>
  <c r="K17" i="11"/>
  <c r="K16" i="11"/>
  <c r="K15" i="11"/>
  <c r="J36" i="11"/>
  <c r="I36" i="11"/>
  <c r="H36" i="11"/>
  <c r="G36" i="11"/>
  <c r="D36" i="11"/>
  <c r="K34" i="10"/>
  <c r="K33" i="10"/>
  <c r="K32" i="10"/>
  <c r="K31" i="10"/>
  <c r="K30" i="10"/>
  <c r="K29" i="10"/>
  <c r="K28" i="10"/>
  <c r="K27" i="10"/>
  <c r="K23" i="10"/>
  <c r="K19" i="10"/>
  <c r="K18" i="10"/>
  <c r="K17" i="10"/>
  <c r="J36" i="10"/>
  <c r="I36" i="10"/>
  <c r="F36" i="10"/>
  <c r="F21" i="10"/>
  <c r="E36" i="10"/>
  <c r="D21" i="10"/>
  <c r="D36" i="10"/>
  <c r="C28" i="9"/>
  <c r="C31" i="9" s="1"/>
  <c r="F28" i="9"/>
  <c r="F31" i="9" s="1"/>
  <c r="I21" i="191" s="1"/>
  <c r="F20" i="8"/>
  <c r="C20" i="8"/>
  <c r="F28" i="4"/>
  <c r="F31" i="4" s="1"/>
  <c r="I11" i="191" s="1"/>
  <c r="C28" i="4"/>
  <c r="C31" i="4" s="1"/>
  <c r="G17" i="186" l="1"/>
  <c r="G17" i="69"/>
  <c r="G11" i="69"/>
  <c r="G11" i="186"/>
  <c r="I11" i="22"/>
  <c r="E172" i="144" s="1"/>
  <c r="I11" i="192"/>
  <c r="F34" i="9"/>
  <c r="E28" i="45" s="1"/>
  <c r="E29" i="45" s="1"/>
  <c r="E39" i="184"/>
  <c r="I35" i="191"/>
  <c r="F28" i="82"/>
  <c r="D43" i="41"/>
  <c r="D39" i="136"/>
  <c r="F38" i="10"/>
  <c r="J38" i="48"/>
  <c r="E35" i="117"/>
  <c r="C35" i="153"/>
  <c r="E35" i="153"/>
  <c r="E35" i="151"/>
  <c r="M45" i="173" s="1"/>
  <c r="C35" i="152"/>
  <c r="C35" i="151"/>
  <c r="E35" i="152"/>
  <c r="M45" i="171" s="1"/>
  <c r="G14" i="157"/>
  <c r="F15" i="157"/>
  <c r="K21" i="11"/>
  <c r="K22" i="24"/>
  <c r="K37" i="24"/>
  <c r="J23" i="48"/>
  <c r="K36" i="10"/>
  <c r="K36" i="11"/>
  <c r="F41" i="41"/>
  <c r="K22" i="136"/>
  <c r="K37" i="136"/>
  <c r="G18" i="153"/>
  <c r="F66" i="41" l="1"/>
  <c r="E13" i="45"/>
  <c r="E30" i="45"/>
  <c r="E33" i="45" s="1"/>
  <c r="E34" i="45" s="1"/>
  <c r="E15" i="45" s="1"/>
  <c r="E12" i="40"/>
  <c r="E19" i="184"/>
  <c r="G28" i="189"/>
  <c r="G29" i="189" s="1"/>
  <c r="G17" i="188" s="1"/>
  <c r="E29" i="189"/>
  <c r="E17" i="188" s="1"/>
  <c r="G23" i="189"/>
  <c r="G24" i="189" s="1"/>
  <c r="G15" i="188" s="1"/>
  <c r="E24" i="189"/>
  <c r="E15" i="188" s="1"/>
  <c r="G13" i="189"/>
  <c r="G14" i="189" s="1"/>
  <c r="G11" i="188" s="1"/>
  <c r="E14" i="189"/>
  <c r="E11" i="188" s="1"/>
  <c r="G18" i="189"/>
  <c r="G19" i="189" s="1"/>
  <c r="G13" i="188" s="1"/>
  <c r="E19" i="189"/>
  <c r="E13" i="188" s="1"/>
  <c r="J40" i="48"/>
  <c r="E14" i="75"/>
  <c r="K38" i="11"/>
  <c r="K39" i="24"/>
  <c r="G15" i="157"/>
  <c r="F16" i="157"/>
  <c r="K39" i="136"/>
  <c r="J14" i="157"/>
  <c r="J15" i="157" s="1"/>
  <c r="J16" i="157" s="1"/>
  <c r="J17" i="157" s="1"/>
  <c r="J18" i="157" s="1"/>
  <c r="J19" i="157" s="1"/>
  <c r="J20" i="157" s="1"/>
  <c r="J21" i="157" s="1"/>
  <c r="J22" i="157" s="1"/>
  <c r="J23" i="157" s="1"/>
  <c r="J24" i="157" s="1"/>
  <c r="J25" i="157" s="1"/>
  <c r="A14" i="157"/>
  <c r="A15" i="157" s="1"/>
  <c r="A16" i="157" s="1"/>
  <c r="A17" i="157" s="1"/>
  <c r="A18" i="157" s="1"/>
  <c r="A19" i="157" s="1"/>
  <c r="A20" i="157" s="1"/>
  <c r="A21" i="157" s="1"/>
  <c r="A22" i="157" s="1"/>
  <c r="A23" i="157" s="1"/>
  <c r="A24" i="157" s="1"/>
  <c r="A25" i="157" s="1"/>
  <c r="H316" i="132"/>
  <c r="H317" i="132" s="1"/>
  <c r="H318" i="132" s="1"/>
  <c r="H319" i="132" s="1"/>
  <c r="H320" i="132" s="1"/>
  <c r="H321" i="132" s="1"/>
  <c r="H322" i="132" s="1"/>
  <c r="H323" i="132" s="1"/>
  <c r="H324" i="132" s="1"/>
  <c r="H325" i="132" s="1"/>
  <c r="H326" i="132" s="1"/>
  <c r="H327" i="132" s="1"/>
  <c r="H328" i="132" s="1"/>
  <c r="H329" i="132" s="1"/>
  <c r="H330" i="132" s="1"/>
  <c r="H331" i="132" s="1"/>
  <c r="H332" i="132" s="1"/>
  <c r="H333" i="132" s="1"/>
  <c r="H334" i="132" s="1"/>
  <c r="H335" i="132" s="1"/>
  <c r="H336" i="132" s="1"/>
  <c r="H337" i="132" s="1"/>
  <c r="H338" i="132" s="1"/>
  <c r="H339" i="132" s="1"/>
  <c r="H340" i="132" s="1"/>
  <c r="A317" i="132"/>
  <c r="A318" i="132" s="1"/>
  <c r="A319" i="132" s="1"/>
  <c r="A320" i="132" s="1"/>
  <c r="A321" i="132" s="1"/>
  <c r="A322" i="132" s="1"/>
  <c r="A323" i="132" s="1"/>
  <c r="A324" i="132" s="1"/>
  <c r="H167" i="132"/>
  <c r="H168" i="132" s="1"/>
  <c r="H169" i="132" s="1"/>
  <c r="H170" i="132" s="1"/>
  <c r="H171" i="132" s="1"/>
  <c r="H172" i="132" s="1"/>
  <c r="H173" i="132" s="1"/>
  <c r="H174" i="132" s="1"/>
  <c r="H175" i="132" s="1"/>
  <c r="H176" i="132" s="1"/>
  <c r="H177" i="132" s="1"/>
  <c r="H178" i="132" s="1"/>
  <c r="H179" i="132" s="1"/>
  <c r="H180" i="132" s="1"/>
  <c r="H181" i="132" s="1"/>
  <c r="H182" i="132" s="1"/>
  <c r="H183" i="132" s="1"/>
  <c r="H184" i="132" s="1"/>
  <c r="H185" i="132" s="1"/>
  <c r="H186" i="132" s="1"/>
  <c r="H187" i="132" s="1"/>
  <c r="H188" i="132" s="1"/>
  <c r="H189" i="132" s="1"/>
  <c r="H190" i="132" s="1"/>
  <c r="H191" i="132" s="1"/>
  <c r="H112" i="132"/>
  <c r="H113" i="132" s="1"/>
  <c r="H114" i="132" s="1"/>
  <c r="H115" i="132" s="1"/>
  <c r="H116" i="132" s="1"/>
  <c r="H117" i="132" s="1"/>
  <c r="H118" i="132" s="1"/>
  <c r="H119" i="132" s="1"/>
  <c r="H120" i="132" s="1"/>
  <c r="H121" i="132" s="1"/>
  <c r="H122" i="132" s="1"/>
  <c r="H123" i="132" s="1"/>
  <c r="H124" i="132" s="1"/>
  <c r="H125" i="132" s="1"/>
  <c r="H126" i="132" s="1"/>
  <c r="H127" i="132" s="1"/>
  <c r="H128" i="132" s="1"/>
  <c r="H129" i="132" s="1"/>
  <c r="H130" i="132" s="1"/>
  <c r="H131" i="132" s="1"/>
  <c r="H132" i="132" s="1"/>
  <c r="H133" i="132" s="1"/>
  <c r="H134" i="132" s="1"/>
  <c r="H135" i="132" s="1"/>
  <c r="H136" i="132" s="1"/>
  <c r="H137" i="132" s="1"/>
  <c r="H138" i="132" s="1"/>
  <c r="H139" i="132" s="1"/>
  <c r="H140" i="132" s="1"/>
  <c r="H141" i="132" s="1"/>
  <c r="H142" i="132" s="1"/>
  <c r="H143" i="132" s="1"/>
  <c r="H144" i="132" s="1"/>
  <c r="H145" i="132" s="1"/>
  <c r="H146" i="132" s="1"/>
  <c r="H147" i="132" s="1"/>
  <c r="H148" i="132" s="1"/>
  <c r="H149" i="132" s="1"/>
  <c r="H150" i="132" s="1"/>
  <c r="H151" i="132" s="1"/>
  <c r="H56" i="132"/>
  <c r="H57" i="132" s="1"/>
  <c r="H58" i="132" s="1"/>
  <c r="H59" i="132" s="1"/>
  <c r="H60" i="132" s="1"/>
  <c r="H61" i="132" s="1"/>
  <c r="H62" i="132" s="1"/>
  <c r="H63" i="132" s="1"/>
  <c r="H64" i="132" s="1"/>
  <c r="H65" i="132" s="1"/>
  <c r="H66" i="132" s="1"/>
  <c r="H67" i="132" s="1"/>
  <c r="H68" i="132" s="1"/>
  <c r="H69" i="132" s="1"/>
  <c r="H70" i="132" s="1"/>
  <c r="H71" i="132" s="1"/>
  <c r="H11" i="132"/>
  <c r="H12" i="132" s="1"/>
  <c r="H13" i="132" s="1"/>
  <c r="H14" i="132" s="1"/>
  <c r="H15" i="132" s="1"/>
  <c r="H16" i="132" s="1"/>
  <c r="H17" i="132" s="1"/>
  <c r="H18" i="132" s="1"/>
  <c r="H19" i="132" s="1"/>
  <c r="H20" i="132" s="1"/>
  <c r="H21" i="132" s="1"/>
  <c r="H22" i="132" s="1"/>
  <c r="H23" i="132" s="1"/>
  <c r="H24" i="132" s="1"/>
  <c r="H25" i="132" s="1"/>
  <c r="H26" i="132" s="1"/>
  <c r="H27" i="132" s="1"/>
  <c r="H28" i="132" s="1"/>
  <c r="H29" i="132" s="1"/>
  <c r="H30" i="132" s="1"/>
  <c r="H31" i="132" s="1"/>
  <c r="H32" i="132" s="1"/>
  <c r="H33" i="132" s="1"/>
  <c r="A168" i="132"/>
  <c r="A169" i="132" s="1"/>
  <c r="A170" i="132" s="1"/>
  <c r="A171" i="132" s="1"/>
  <c r="A172" i="132" s="1"/>
  <c r="A173" i="132" s="1"/>
  <c r="A174" i="132" s="1"/>
  <c r="A175" i="132" s="1"/>
  <c r="A176" i="132" s="1"/>
  <c r="A177" i="132" s="1"/>
  <c r="A178" i="132" s="1"/>
  <c r="A179" i="132" s="1"/>
  <c r="A180" i="132" s="1"/>
  <c r="A181" i="132" s="1"/>
  <c r="A182" i="132" s="1"/>
  <c r="A183" i="132" s="1"/>
  <c r="A184" i="132" s="1"/>
  <c r="A185" i="132" s="1"/>
  <c r="A186" i="132" s="1"/>
  <c r="A187" i="132" s="1"/>
  <c r="A188" i="132" s="1"/>
  <c r="A189" i="132" s="1"/>
  <c r="A190" i="132" s="1"/>
  <c r="A191" i="132" s="1"/>
  <c r="A113" i="132"/>
  <c r="A114" i="132" s="1"/>
  <c r="A115" i="132" s="1"/>
  <c r="A116" i="132" s="1"/>
  <c r="A117" i="132" s="1"/>
  <c r="A118" i="132" s="1"/>
  <c r="A119" i="132" s="1"/>
  <c r="A120" i="132" s="1"/>
  <c r="A121" i="132" s="1"/>
  <c r="A122" i="132" s="1"/>
  <c r="A123" i="132" s="1"/>
  <c r="A124" i="132" s="1"/>
  <c r="A125" i="132" s="1"/>
  <c r="A126" i="132" s="1"/>
  <c r="A127" i="132" s="1"/>
  <c r="A128" i="132" s="1"/>
  <c r="A129" i="132" s="1"/>
  <c r="A130" i="132" s="1"/>
  <c r="A131" i="132" s="1"/>
  <c r="A132" i="132" s="1"/>
  <c r="A133" i="132" s="1"/>
  <c r="A134" i="132" s="1"/>
  <c r="A135" i="132" s="1"/>
  <c r="A136" i="132" s="1"/>
  <c r="A137" i="132" s="1"/>
  <c r="A138" i="132" s="1"/>
  <c r="A139" i="132" s="1"/>
  <c r="A140" i="132" s="1"/>
  <c r="A141" i="132" s="1"/>
  <c r="A142" i="132" s="1"/>
  <c r="A143" i="132" s="1"/>
  <c r="A144" i="132" s="1"/>
  <c r="A145" i="132" s="1"/>
  <c r="A146" i="132" s="1"/>
  <c r="A147" i="132" s="1"/>
  <c r="A148" i="132" s="1"/>
  <c r="A149" i="132" s="1"/>
  <c r="A150" i="132" s="1"/>
  <c r="A151" i="132" s="1"/>
  <c r="A12" i="132"/>
  <c r="A13" i="132" s="1"/>
  <c r="A14" i="132" s="1"/>
  <c r="A15" i="132" s="1"/>
  <c r="A16" i="132" s="1"/>
  <c r="A17" i="132" s="1"/>
  <c r="A18" i="132" s="1"/>
  <c r="A19" i="132" s="1"/>
  <c r="A20" i="132" s="1"/>
  <c r="A21" i="132" s="1"/>
  <c r="A22" i="132" s="1"/>
  <c r="A23" i="132" s="1"/>
  <c r="A24" i="132" s="1"/>
  <c r="A25" i="132" s="1"/>
  <c r="A26" i="132" s="1"/>
  <c r="A27" i="132" s="1"/>
  <c r="A28" i="132" s="1"/>
  <c r="A29" i="132" s="1"/>
  <c r="A30" i="132" s="1"/>
  <c r="A31" i="132" s="1"/>
  <c r="A32" i="132" s="1"/>
  <c r="A33" i="132" s="1"/>
  <c r="B50" i="132"/>
  <c r="J40" i="121"/>
  <c r="H40" i="121"/>
  <c r="J38" i="121"/>
  <c r="H38" i="121"/>
  <c r="D36" i="121"/>
  <c r="D22" i="118" s="1"/>
  <c r="C36" i="121"/>
  <c r="C22" i="118" s="1"/>
  <c r="L35" i="121"/>
  <c r="E35" i="121"/>
  <c r="L34" i="121"/>
  <c r="E34" i="121"/>
  <c r="L33" i="121"/>
  <c r="E33" i="121"/>
  <c r="L32" i="121"/>
  <c r="E32" i="121"/>
  <c r="L31" i="121"/>
  <c r="E31" i="121"/>
  <c r="L30" i="121"/>
  <c r="E30" i="121"/>
  <c r="L29" i="121"/>
  <c r="E29" i="121"/>
  <c r="L28" i="121"/>
  <c r="E28" i="121"/>
  <c r="L27" i="121"/>
  <c r="E27" i="121"/>
  <c r="L26" i="121"/>
  <c r="E26" i="121"/>
  <c r="L25" i="121"/>
  <c r="E25" i="121"/>
  <c r="L24" i="121"/>
  <c r="E24" i="121"/>
  <c r="L23" i="121"/>
  <c r="E23" i="121"/>
  <c r="L22" i="121"/>
  <c r="E22" i="121"/>
  <c r="L21" i="121"/>
  <c r="E21" i="121"/>
  <c r="L20" i="121"/>
  <c r="E20" i="121"/>
  <c r="L19" i="121"/>
  <c r="E19" i="121"/>
  <c r="L18" i="121"/>
  <c r="E18" i="121"/>
  <c r="L17" i="121"/>
  <c r="E17" i="121"/>
  <c r="L16" i="121"/>
  <c r="E16" i="121"/>
  <c r="L15" i="121"/>
  <c r="E15" i="121"/>
  <c r="L14" i="121"/>
  <c r="E14" i="121"/>
  <c r="L13" i="121"/>
  <c r="E13" i="121"/>
  <c r="A13" i="121"/>
  <c r="A14" i="121" s="1"/>
  <c r="A15" i="121" s="1"/>
  <c r="A16" i="121" s="1"/>
  <c r="A17" i="121" s="1"/>
  <c r="A18" i="121" s="1"/>
  <c r="A19" i="121" s="1"/>
  <c r="A20" i="121" s="1"/>
  <c r="A21" i="121" s="1"/>
  <c r="A22" i="121" s="1"/>
  <c r="A23" i="121" s="1"/>
  <c r="A24" i="121" s="1"/>
  <c r="A25" i="121" s="1"/>
  <c r="A26" i="121" s="1"/>
  <c r="A27" i="121" s="1"/>
  <c r="A28" i="121" s="1"/>
  <c r="A29" i="121" s="1"/>
  <c r="A30" i="121" s="1"/>
  <c r="A31" i="121" s="1"/>
  <c r="A32" i="121" s="1"/>
  <c r="A33" i="121" s="1"/>
  <c r="A34" i="121" s="1"/>
  <c r="A35" i="121" s="1"/>
  <c r="A36" i="121" s="1"/>
  <c r="A37" i="121" s="1"/>
  <c r="A38" i="121" s="1"/>
  <c r="A39" i="121" s="1"/>
  <c r="A40" i="121" s="1"/>
  <c r="A41" i="121" s="1"/>
  <c r="A42" i="121" s="1"/>
  <c r="A43" i="121" s="1"/>
  <c r="A44" i="121" s="1"/>
  <c r="A45" i="121" s="1"/>
  <c r="A46" i="121" s="1"/>
  <c r="A47" i="121" s="1"/>
  <c r="A48" i="121" s="1"/>
  <c r="A49" i="121" s="1"/>
  <c r="A50" i="121" s="1"/>
  <c r="P12" i="121"/>
  <c r="P13" i="121" s="1"/>
  <c r="P14" i="121" s="1"/>
  <c r="P15" i="121" s="1"/>
  <c r="P16" i="121" s="1"/>
  <c r="P17" i="121" s="1"/>
  <c r="P18" i="121" s="1"/>
  <c r="P19" i="121" s="1"/>
  <c r="P20" i="121" s="1"/>
  <c r="P21" i="121" s="1"/>
  <c r="P22" i="121" s="1"/>
  <c r="P23" i="121" s="1"/>
  <c r="P24" i="121" s="1"/>
  <c r="P25" i="121" s="1"/>
  <c r="P26" i="121" s="1"/>
  <c r="P27" i="121" s="1"/>
  <c r="P28" i="121" s="1"/>
  <c r="P29" i="121" s="1"/>
  <c r="P30" i="121" s="1"/>
  <c r="P31" i="121" s="1"/>
  <c r="P32" i="121" s="1"/>
  <c r="P33" i="121" s="1"/>
  <c r="P34" i="121" s="1"/>
  <c r="P35" i="121" s="1"/>
  <c r="P36" i="121" s="1"/>
  <c r="P37" i="121" s="1"/>
  <c r="P38" i="121" s="1"/>
  <c r="P39" i="121" s="1"/>
  <c r="P40" i="121" s="1"/>
  <c r="P41" i="121" s="1"/>
  <c r="P42" i="121" s="1"/>
  <c r="P43" i="121" s="1"/>
  <c r="P44" i="121" s="1"/>
  <c r="P45" i="121" s="1"/>
  <c r="P46" i="121" s="1"/>
  <c r="P47" i="121" s="1"/>
  <c r="P48" i="121" s="1"/>
  <c r="P49" i="121" s="1"/>
  <c r="P50" i="121" s="1"/>
  <c r="L12" i="121"/>
  <c r="E12" i="121"/>
  <c r="B4" i="121"/>
  <c r="J40" i="120"/>
  <c r="H40" i="120"/>
  <c r="J38" i="120"/>
  <c r="H38" i="120"/>
  <c r="D36" i="120"/>
  <c r="D20" i="118" s="1"/>
  <c r="C36" i="120"/>
  <c r="L35" i="120"/>
  <c r="E35" i="120"/>
  <c r="L34" i="120"/>
  <c r="E34" i="120"/>
  <c r="L33" i="120"/>
  <c r="E33" i="120"/>
  <c r="L32" i="120"/>
  <c r="E32" i="120"/>
  <c r="L31" i="120"/>
  <c r="E31" i="120"/>
  <c r="L30" i="120"/>
  <c r="E30" i="120"/>
  <c r="L29" i="120"/>
  <c r="E29" i="120"/>
  <c r="L28" i="120"/>
  <c r="E28" i="120"/>
  <c r="L27" i="120"/>
  <c r="E27" i="120"/>
  <c r="L26" i="120"/>
  <c r="E26" i="120"/>
  <c r="L25" i="120"/>
  <c r="E25" i="120"/>
  <c r="L24" i="120"/>
  <c r="E24" i="120"/>
  <c r="L23" i="120"/>
  <c r="E23" i="120"/>
  <c r="L22" i="120"/>
  <c r="E22" i="120"/>
  <c r="L21" i="120"/>
  <c r="E21" i="120"/>
  <c r="L20" i="120"/>
  <c r="E20" i="120"/>
  <c r="L19" i="120"/>
  <c r="E19" i="120"/>
  <c r="L18" i="120"/>
  <c r="E18" i="120"/>
  <c r="L17" i="120"/>
  <c r="E17" i="120"/>
  <c r="L16" i="120"/>
  <c r="E16" i="120"/>
  <c r="L15" i="120"/>
  <c r="E15" i="120"/>
  <c r="L14" i="120"/>
  <c r="E14" i="120"/>
  <c r="L13" i="120"/>
  <c r="E13" i="120"/>
  <c r="A13" i="120"/>
  <c r="A14" i="120" s="1"/>
  <c r="A15" i="120" s="1"/>
  <c r="A16" i="120" s="1"/>
  <c r="A17" i="120" s="1"/>
  <c r="A18" i="120" s="1"/>
  <c r="A19" i="120" s="1"/>
  <c r="A20" i="120" s="1"/>
  <c r="A21" i="120" s="1"/>
  <c r="A22" i="120" s="1"/>
  <c r="A23" i="120" s="1"/>
  <c r="A24" i="120" s="1"/>
  <c r="A25" i="120" s="1"/>
  <c r="A26" i="120" s="1"/>
  <c r="A27" i="120" s="1"/>
  <c r="A28" i="120" s="1"/>
  <c r="A29" i="120" s="1"/>
  <c r="A30" i="120" s="1"/>
  <c r="A31" i="120" s="1"/>
  <c r="A32" i="120" s="1"/>
  <c r="A33" i="120" s="1"/>
  <c r="A34" i="120" s="1"/>
  <c r="A35" i="120" s="1"/>
  <c r="A36" i="120" s="1"/>
  <c r="A37" i="120" s="1"/>
  <c r="A38" i="120" s="1"/>
  <c r="A39" i="120" s="1"/>
  <c r="A40" i="120" s="1"/>
  <c r="A41" i="120" s="1"/>
  <c r="A42" i="120" s="1"/>
  <c r="A43" i="120" s="1"/>
  <c r="A44" i="120" s="1"/>
  <c r="A45" i="120" s="1"/>
  <c r="A46" i="120" s="1"/>
  <c r="A47" i="120" s="1"/>
  <c r="A48" i="120" s="1"/>
  <c r="A49" i="120" s="1"/>
  <c r="A50" i="120" s="1"/>
  <c r="P12" i="120"/>
  <c r="P13" i="120" s="1"/>
  <c r="P14" i="120" s="1"/>
  <c r="P15" i="120" s="1"/>
  <c r="P16" i="120" s="1"/>
  <c r="P17" i="120" s="1"/>
  <c r="P18" i="120" s="1"/>
  <c r="P19" i="120" s="1"/>
  <c r="P20" i="120" s="1"/>
  <c r="P21" i="120" s="1"/>
  <c r="P22" i="120" s="1"/>
  <c r="P23" i="120" s="1"/>
  <c r="P24" i="120" s="1"/>
  <c r="P25" i="120" s="1"/>
  <c r="P26" i="120" s="1"/>
  <c r="P27" i="120" s="1"/>
  <c r="P28" i="120" s="1"/>
  <c r="P29" i="120" s="1"/>
  <c r="P30" i="120" s="1"/>
  <c r="P31" i="120" s="1"/>
  <c r="P32" i="120" s="1"/>
  <c r="P33" i="120" s="1"/>
  <c r="P34" i="120" s="1"/>
  <c r="P35" i="120" s="1"/>
  <c r="P36" i="120" s="1"/>
  <c r="P37" i="120" s="1"/>
  <c r="P38" i="120" s="1"/>
  <c r="P39" i="120" s="1"/>
  <c r="P40" i="120" s="1"/>
  <c r="P41" i="120" s="1"/>
  <c r="P42" i="120" s="1"/>
  <c r="P43" i="120" s="1"/>
  <c r="P44" i="120" s="1"/>
  <c r="P45" i="120" s="1"/>
  <c r="P46" i="120" s="1"/>
  <c r="P47" i="120" s="1"/>
  <c r="P48" i="120" s="1"/>
  <c r="P49" i="120" s="1"/>
  <c r="P50" i="120" s="1"/>
  <c r="L12" i="120"/>
  <c r="E12" i="120"/>
  <c r="B4" i="120"/>
  <c r="J39" i="119"/>
  <c r="H39" i="119"/>
  <c r="J37" i="119"/>
  <c r="H37" i="119"/>
  <c r="H41" i="119" s="1"/>
  <c r="D35" i="119"/>
  <c r="D18" i="118" s="1"/>
  <c r="C35" i="119"/>
  <c r="C18" i="118" s="1"/>
  <c r="L34" i="119"/>
  <c r="E34" i="119"/>
  <c r="L33" i="119"/>
  <c r="E33" i="119"/>
  <c r="L32" i="119"/>
  <c r="E32" i="119"/>
  <c r="L31" i="119"/>
  <c r="E31" i="119"/>
  <c r="L30" i="119"/>
  <c r="E30" i="119"/>
  <c r="L29" i="119"/>
  <c r="E29" i="119"/>
  <c r="L28" i="119"/>
  <c r="E28" i="119"/>
  <c r="L27" i="119"/>
  <c r="E27" i="119"/>
  <c r="L26" i="119"/>
  <c r="E26" i="119"/>
  <c r="L25" i="119"/>
  <c r="E25" i="119"/>
  <c r="L24" i="119"/>
  <c r="E24" i="119"/>
  <c r="L23" i="119"/>
  <c r="E23" i="119"/>
  <c r="L22" i="119"/>
  <c r="E22" i="119"/>
  <c r="L21" i="119"/>
  <c r="E21" i="119"/>
  <c r="L20" i="119"/>
  <c r="E20" i="119"/>
  <c r="L19" i="119"/>
  <c r="E19" i="119"/>
  <c r="L18" i="119"/>
  <c r="E18" i="119"/>
  <c r="L17" i="119"/>
  <c r="E17" i="119"/>
  <c r="L16" i="119"/>
  <c r="E16" i="119"/>
  <c r="L15" i="119"/>
  <c r="E15" i="119"/>
  <c r="L14" i="119"/>
  <c r="E14" i="119"/>
  <c r="L13" i="119"/>
  <c r="E13" i="119"/>
  <c r="L12" i="119"/>
  <c r="E12" i="119"/>
  <c r="A12" i="119"/>
  <c r="A13" i="119" s="1"/>
  <c r="A14" i="119" s="1"/>
  <c r="A15" i="119" s="1"/>
  <c r="A16" i="119" s="1"/>
  <c r="A17" i="119" s="1"/>
  <c r="A18" i="119" s="1"/>
  <c r="A19" i="119" s="1"/>
  <c r="A20" i="119" s="1"/>
  <c r="A21" i="119" s="1"/>
  <c r="A22" i="119" s="1"/>
  <c r="A23" i="119" s="1"/>
  <c r="A24" i="119" s="1"/>
  <c r="A25" i="119" s="1"/>
  <c r="A26" i="119" s="1"/>
  <c r="A27" i="119" s="1"/>
  <c r="A28" i="119" s="1"/>
  <c r="A29" i="119" s="1"/>
  <c r="A30" i="119" s="1"/>
  <c r="A31" i="119" s="1"/>
  <c r="A32" i="119" s="1"/>
  <c r="A33" i="119" s="1"/>
  <c r="A34" i="119" s="1"/>
  <c r="A35" i="119" s="1"/>
  <c r="A36" i="119" s="1"/>
  <c r="A37" i="119" s="1"/>
  <c r="A38" i="119" s="1"/>
  <c r="A39" i="119" s="1"/>
  <c r="A40" i="119" s="1"/>
  <c r="A41" i="119" s="1"/>
  <c r="A42" i="119" s="1"/>
  <c r="A43" i="119" s="1"/>
  <c r="A44" i="119" s="1"/>
  <c r="A45" i="119" s="1"/>
  <c r="A46" i="119" s="1"/>
  <c r="A47" i="119" s="1"/>
  <c r="A48" i="119" s="1"/>
  <c r="A49" i="119" s="1"/>
  <c r="P11" i="119"/>
  <c r="P12" i="119" s="1"/>
  <c r="P13" i="119" s="1"/>
  <c r="P14" i="119" s="1"/>
  <c r="P15" i="119" s="1"/>
  <c r="P16" i="119" s="1"/>
  <c r="P17" i="119" s="1"/>
  <c r="P18" i="119" s="1"/>
  <c r="P19" i="119" s="1"/>
  <c r="P20" i="119" s="1"/>
  <c r="P21" i="119" s="1"/>
  <c r="P22" i="119" s="1"/>
  <c r="P23" i="119" s="1"/>
  <c r="P24" i="119" s="1"/>
  <c r="P25" i="119" s="1"/>
  <c r="P26" i="119" s="1"/>
  <c r="P27" i="119" s="1"/>
  <c r="P28" i="119" s="1"/>
  <c r="P29" i="119" s="1"/>
  <c r="P30" i="119" s="1"/>
  <c r="P31" i="119" s="1"/>
  <c r="P32" i="119" s="1"/>
  <c r="P33" i="119" s="1"/>
  <c r="P34" i="119" s="1"/>
  <c r="P35" i="119" s="1"/>
  <c r="P36" i="119" s="1"/>
  <c r="P37" i="119" s="1"/>
  <c r="P38" i="119" s="1"/>
  <c r="P39" i="119" s="1"/>
  <c r="P40" i="119" s="1"/>
  <c r="P41" i="119" s="1"/>
  <c r="P42" i="119" s="1"/>
  <c r="P43" i="119" s="1"/>
  <c r="P44" i="119" s="1"/>
  <c r="P45" i="119" s="1"/>
  <c r="P46" i="119" s="1"/>
  <c r="P47" i="119" s="1"/>
  <c r="P48" i="119" s="1"/>
  <c r="P49" i="119" s="1"/>
  <c r="L11" i="119"/>
  <c r="E11" i="119"/>
  <c r="B4" i="119"/>
  <c r="J39" i="117"/>
  <c r="J37" i="117"/>
  <c r="H37" i="117"/>
  <c r="H41" i="117" s="1"/>
  <c r="L34" i="117"/>
  <c r="L33" i="117"/>
  <c r="L32" i="117"/>
  <c r="L31" i="117"/>
  <c r="L30" i="117"/>
  <c r="L29" i="117"/>
  <c r="L28" i="117"/>
  <c r="L27" i="117"/>
  <c r="L26" i="117"/>
  <c r="L25" i="117"/>
  <c r="L24" i="117"/>
  <c r="L23" i="117"/>
  <c r="L22" i="117"/>
  <c r="L21" i="117"/>
  <c r="L20" i="117"/>
  <c r="L19" i="117"/>
  <c r="L18" i="117"/>
  <c r="L17" i="117"/>
  <c r="L16" i="117"/>
  <c r="L15" i="117"/>
  <c r="L14" i="117"/>
  <c r="L13" i="117"/>
  <c r="L12" i="117"/>
  <c r="A12" i="117"/>
  <c r="A13" i="117" s="1"/>
  <c r="A14" i="117" s="1"/>
  <c r="A15" i="117" s="1"/>
  <c r="A16" i="117" s="1"/>
  <c r="A17" i="117" s="1"/>
  <c r="A18" i="117" s="1"/>
  <c r="A19" i="117" s="1"/>
  <c r="A20" i="117" s="1"/>
  <c r="A21" i="117" s="1"/>
  <c r="A22" i="117" s="1"/>
  <c r="A23" i="117" s="1"/>
  <c r="A24" i="117" s="1"/>
  <c r="A25" i="117" s="1"/>
  <c r="A26" i="117" s="1"/>
  <c r="A27" i="117" s="1"/>
  <c r="A28" i="117" s="1"/>
  <c r="A29" i="117" s="1"/>
  <c r="A30" i="117" s="1"/>
  <c r="A31" i="117" s="1"/>
  <c r="A32" i="117" s="1"/>
  <c r="A33" i="117" s="1"/>
  <c r="A34" i="117" s="1"/>
  <c r="A35" i="117" s="1"/>
  <c r="A36" i="117" s="1"/>
  <c r="A37" i="117" s="1"/>
  <c r="A38" i="117" s="1"/>
  <c r="A39" i="117" s="1"/>
  <c r="A40" i="117" s="1"/>
  <c r="A41" i="117" s="1"/>
  <c r="A42" i="117" s="1"/>
  <c r="A43" i="117" s="1"/>
  <c r="A44" i="117" s="1"/>
  <c r="A45" i="117" s="1"/>
  <c r="A46" i="117" s="1"/>
  <c r="A47" i="117" s="1"/>
  <c r="A48" i="117" s="1"/>
  <c r="A49" i="117" s="1"/>
  <c r="P11" i="117"/>
  <c r="P12" i="117" s="1"/>
  <c r="P13" i="117" s="1"/>
  <c r="P14" i="117" s="1"/>
  <c r="P15" i="117" s="1"/>
  <c r="P16" i="117" s="1"/>
  <c r="P17" i="117" s="1"/>
  <c r="P18" i="117" s="1"/>
  <c r="P19" i="117" s="1"/>
  <c r="P20" i="117" s="1"/>
  <c r="P21" i="117" s="1"/>
  <c r="P22" i="117" s="1"/>
  <c r="P23" i="117" s="1"/>
  <c r="P24" i="117" s="1"/>
  <c r="P25" i="117" s="1"/>
  <c r="P26" i="117" s="1"/>
  <c r="P27" i="117" s="1"/>
  <c r="P28" i="117" s="1"/>
  <c r="P29" i="117" s="1"/>
  <c r="P30" i="117" s="1"/>
  <c r="P31" i="117" s="1"/>
  <c r="P32" i="117" s="1"/>
  <c r="P33" i="117" s="1"/>
  <c r="P34" i="117" s="1"/>
  <c r="P35" i="117" s="1"/>
  <c r="P36" i="117" s="1"/>
  <c r="P37" i="117" s="1"/>
  <c r="P38" i="117" s="1"/>
  <c r="P39" i="117" s="1"/>
  <c r="P40" i="117" s="1"/>
  <c r="P41" i="117" s="1"/>
  <c r="P42" i="117" s="1"/>
  <c r="P43" i="117" s="1"/>
  <c r="P44" i="117" s="1"/>
  <c r="P45" i="117" s="1"/>
  <c r="P46" i="117" s="1"/>
  <c r="P47" i="117" s="1"/>
  <c r="P48" i="117" s="1"/>
  <c r="P49" i="117" s="1"/>
  <c r="L11" i="117"/>
  <c r="B4" i="117"/>
  <c r="D11" i="118"/>
  <c r="C11" i="118"/>
  <c r="E33" i="116"/>
  <c r="E32" i="116"/>
  <c r="E31" i="116"/>
  <c r="E30" i="116"/>
  <c r="E29" i="116"/>
  <c r="E28" i="116"/>
  <c r="E27" i="116"/>
  <c r="E26" i="116"/>
  <c r="E25" i="116"/>
  <c r="E24" i="116"/>
  <c r="E23" i="116"/>
  <c r="E22" i="116"/>
  <c r="E21" i="116"/>
  <c r="E20" i="116"/>
  <c r="E19" i="116"/>
  <c r="E18" i="116"/>
  <c r="E17" i="116"/>
  <c r="E16" i="116"/>
  <c r="E15" i="116"/>
  <c r="E14" i="116"/>
  <c r="E13" i="116"/>
  <c r="A12" i="116"/>
  <c r="A13" i="116" s="1"/>
  <c r="A14" i="116" s="1"/>
  <c r="A15" i="116" s="1"/>
  <c r="A16" i="116" s="1"/>
  <c r="A17" i="116" s="1"/>
  <c r="A18" i="116" s="1"/>
  <c r="A19" i="116" s="1"/>
  <c r="A20" i="116" s="1"/>
  <c r="A21" i="116" s="1"/>
  <c r="A22" i="116" s="1"/>
  <c r="A23" i="116" s="1"/>
  <c r="A24" i="116" s="1"/>
  <c r="A25" i="116" s="1"/>
  <c r="A26" i="116" s="1"/>
  <c r="A27" i="116" s="1"/>
  <c r="A28" i="116" s="1"/>
  <c r="A29" i="116" s="1"/>
  <c r="A30" i="116" s="1"/>
  <c r="A31" i="116" s="1"/>
  <c r="A32" i="116" s="1"/>
  <c r="A33" i="116" s="1"/>
  <c r="A34" i="116" s="1"/>
  <c r="A35" i="116" s="1"/>
  <c r="A36" i="116" s="1"/>
  <c r="A37" i="116" s="1"/>
  <c r="A38" i="116" s="1"/>
  <c r="A39" i="116" s="1"/>
  <c r="A40" i="116" s="1"/>
  <c r="A41" i="116" s="1"/>
  <c r="A42" i="116" s="1"/>
  <c r="A43" i="116" s="1"/>
  <c r="A44" i="116" s="1"/>
  <c r="A45" i="116" s="1"/>
  <c r="A46" i="116" s="1"/>
  <c r="A47" i="116" s="1"/>
  <c r="A48" i="116" s="1"/>
  <c r="A49" i="116" s="1"/>
  <c r="P11" i="116"/>
  <c r="P12" i="116" s="1"/>
  <c r="P13" i="116" s="1"/>
  <c r="P14" i="116" s="1"/>
  <c r="P15" i="116" s="1"/>
  <c r="P16" i="116" s="1"/>
  <c r="P17" i="116" s="1"/>
  <c r="P18" i="116" s="1"/>
  <c r="P19" i="116" s="1"/>
  <c r="P20" i="116" s="1"/>
  <c r="P21" i="116" s="1"/>
  <c r="P22" i="116" s="1"/>
  <c r="P23" i="116" s="1"/>
  <c r="P24" i="116" s="1"/>
  <c r="P25" i="116" s="1"/>
  <c r="P26" i="116" s="1"/>
  <c r="P27" i="116" s="1"/>
  <c r="P28" i="116" s="1"/>
  <c r="P29" i="116" s="1"/>
  <c r="P30" i="116" s="1"/>
  <c r="P31" i="116" s="1"/>
  <c r="P32" i="116" s="1"/>
  <c r="P33" i="116" s="1"/>
  <c r="P34" i="116" s="1"/>
  <c r="P35" i="116" s="1"/>
  <c r="P36" i="116" s="1"/>
  <c r="P37" i="116" s="1"/>
  <c r="P38" i="116" s="1"/>
  <c r="P39" i="116" s="1"/>
  <c r="P40" i="116" s="1"/>
  <c r="P41" i="116" s="1"/>
  <c r="P42" i="116" s="1"/>
  <c r="P43" i="116" s="1"/>
  <c r="P44" i="116" s="1"/>
  <c r="P45" i="116" s="1"/>
  <c r="P46" i="116" s="1"/>
  <c r="P47" i="116" s="1"/>
  <c r="P48" i="116" s="1"/>
  <c r="P49" i="116" s="1"/>
  <c r="B4" i="116"/>
  <c r="C20" i="118"/>
  <c r="D13" i="118"/>
  <c r="C13" i="118"/>
  <c r="A12" i="118"/>
  <c r="A13" i="118" s="1"/>
  <c r="A14" i="118" s="1"/>
  <c r="A15" i="118" s="1"/>
  <c r="A16" i="118" s="1"/>
  <c r="A17" i="118" s="1"/>
  <c r="A18" i="118" s="1"/>
  <c r="A19" i="118" s="1"/>
  <c r="A20" i="118" s="1"/>
  <c r="A21" i="118" s="1"/>
  <c r="A22" i="118" s="1"/>
  <c r="A23" i="118" s="1"/>
  <c r="A24" i="118" s="1"/>
  <c r="A25" i="118" s="1"/>
  <c r="A26" i="118" s="1"/>
  <c r="A27" i="118" s="1"/>
  <c r="A28" i="118" s="1"/>
  <c r="A29" i="118" s="1"/>
  <c r="K11" i="118"/>
  <c r="K12" i="118" s="1"/>
  <c r="K13" i="118" s="1"/>
  <c r="K14" i="118" s="1"/>
  <c r="K15" i="118" s="1"/>
  <c r="K16" i="118" s="1"/>
  <c r="K17" i="118" s="1"/>
  <c r="K18" i="118" s="1"/>
  <c r="K19" i="118" s="1"/>
  <c r="K20" i="118" s="1"/>
  <c r="K21" i="118" s="1"/>
  <c r="K22" i="118" s="1"/>
  <c r="K23" i="118" s="1"/>
  <c r="K24" i="118" s="1"/>
  <c r="K25" i="118" s="1"/>
  <c r="K26" i="118" s="1"/>
  <c r="K27" i="118" s="1"/>
  <c r="K28" i="118" s="1"/>
  <c r="K29" i="118" s="1"/>
  <c r="D33" i="86"/>
  <c r="D32" i="86"/>
  <c r="D31" i="86"/>
  <c r="D30" i="86"/>
  <c r="D29" i="86"/>
  <c r="D28" i="86"/>
  <c r="D27" i="86"/>
  <c r="D26" i="86"/>
  <c r="D25" i="86"/>
  <c r="D24" i="86"/>
  <c r="D23" i="86"/>
  <c r="D22" i="86"/>
  <c r="D21" i="86"/>
  <c r="D20" i="86"/>
  <c r="D19" i="86"/>
  <c r="D18" i="86"/>
  <c r="D16" i="86"/>
  <c r="D15" i="86"/>
  <c r="D14" i="86"/>
  <c r="D13" i="86"/>
  <c r="D12" i="86"/>
  <c r="A12" i="86"/>
  <c r="A13" i="86" s="1"/>
  <c r="A14" i="86" s="1"/>
  <c r="A15" i="86" s="1"/>
  <c r="A16" i="86" s="1"/>
  <c r="G11" i="86"/>
  <c r="G12" i="86" s="1"/>
  <c r="G13" i="86" s="1"/>
  <c r="G14" i="86" s="1"/>
  <c r="G15" i="86" s="1"/>
  <c r="G16" i="86" s="1"/>
  <c r="D11" i="86"/>
  <c r="A165" i="144"/>
  <c r="A166" i="144" s="1"/>
  <c r="A167" i="144" s="1"/>
  <c r="A168" i="144" s="1"/>
  <c r="A169" i="144" s="1"/>
  <c r="A170" i="144" s="1"/>
  <c r="A171" i="144" s="1"/>
  <c r="A172" i="144" s="1"/>
  <c r="A173" i="144" s="1"/>
  <c r="A174" i="144" s="1"/>
  <c r="A175" i="144" s="1"/>
  <c r="A176" i="144" s="1"/>
  <c r="A177" i="144" s="1"/>
  <c r="A178" i="144" s="1"/>
  <c r="A179" i="144" s="1"/>
  <c r="A180" i="144" s="1"/>
  <c r="A181" i="144" s="1"/>
  <c r="A182" i="144" s="1"/>
  <c r="A183" i="144" s="1"/>
  <c r="A184" i="144" s="1"/>
  <c r="A185" i="144" s="1"/>
  <c r="A186" i="144" s="1"/>
  <c r="A187" i="144" s="1"/>
  <c r="A188" i="144" s="1"/>
  <c r="H164" i="144"/>
  <c r="H165" i="144" s="1"/>
  <c r="H166" i="144" s="1"/>
  <c r="H167" i="144" s="1"/>
  <c r="H168" i="144" s="1"/>
  <c r="H169" i="144" s="1"/>
  <c r="H170" i="144" s="1"/>
  <c r="H171" i="144" s="1"/>
  <c r="H172" i="144" s="1"/>
  <c r="H173" i="144" s="1"/>
  <c r="H174" i="144" s="1"/>
  <c r="H175" i="144" s="1"/>
  <c r="H176" i="144" s="1"/>
  <c r="H177" i="144" s="1"/>
  <c r="H178" i="144" s="1"/>
  <c r="H179" i="144" s="1"/>
  <c r="H180" i="144" s="1"/>
  <c r="H181" i="144" s="1"/>
  <c r="H182" i="144" s="1"/>
  <c r="H183" i="144" s="1"/>
  <c r="H184" i="144" s="1"/>
  <c r="H185" i="144" s="1"/>
  <c r="H186" i="144" s="1"/>
  <c r="H187" i="144" s="1"/>
  <c r="H188" i="144" s="1"/>
  <c r="A111" i="144"/>
  <c r="A112" i="144" s="1"/>
  <c r="A113" i="144" s="1"/>
  <c r="A114" i="144" s="1"/>
  <c r="A115" i="144" s="1"/>
  <c r="A116" i="144" s="1"/>
  <c r="A117" i="144" s="1"/>
  <c r="A118" i="144" s="1"/>
  <c r="A119" i="144" s="1"/>
  <c r="A120" i="144" s="1"/>
  <c r="A121" i="144" s="1"/>
  <c r="A122" i="144" s="1"/>
  <c r="A123" i="144" s="1"/>
  <c r="A124" i="144" s="1"/>
  <c r="A125" i="144" s="1"/>
  <c r="A126" i="144" s="1"/>
  <c r="A127" i="144" s="1"/>
  <c r="A128" i="144" s="1"/>
  <c r="A129" i="144" s="1"/>
  <c r="A130" i="144" s="1"/>
  <c r="A131" i="144" s="1"/>
  <c r="A132" i="144" s="1"/>
  <c r="H110" i="144"/>
  <c r="H111" i="144" s="1"/>
  <c r="H112" i="144" s="1"/>
  <c r="H113" i="144" s="1"/>
  <c r="H114" i="144" s="1"/>
  <c r="H115" i="144" s="1"/>
  <c r="H116" i="144" s="1"/>
  <c r="H117" i="144" s="1"/>
  <c r="H118" i="144" s="1"/>
  <c r="H119" i="144" s="1"/>
  <c r="H120" i="144" s="1"/>
  <c r="H121" i="144" s="1"/>
  <c r="H122" i="144" s="1"/>
  <c r="H123" i="144" s="1"/>
  <c r="H124" i="144" s="1"/>
  <c r="H125" i="144" s="1"/>
  <c r="H126" i="144" s="1"/>
  <c r="H127" i="144" s="1"/>
  <c r="H128" i="144" s="1"/>
  <c r="H129" i="144" s="1"/>
  <c r="H130" i="144" s="1"/>
  <c r="H131" i="144" s="1"/>
  <c r="H132" i="144" s="1"/>
  <c r="A11" i="144"/>
  <c r="A12" i="144" s="1"/>
  <c r="A13" i="144" s="1"/>
  <c r="A14" i="144" s="1"/>
  <c r="A15" i="144" s="1"/>
  <c r="H11" i="144"/>
  <c r="H12" i="144" s="1"/>
  <c r="H13" i="144" s="1"/>
  <c r="H14" i="144" s="1"/>
  <c r="H15" i="144" s="1"/>
  <c r="B158" i="144"/>
  <c r="D26" i="142"/>
  <c r="A11" i="142"/>
  <c r="A12" i="142" s="1"/>
  <c r="A13" i="142" s="1"/>
  <c r="A14" i="142" s="1"/>
  <c r="A15" i="142" s="1"/>
  <c r="A16" i="142" s="1"/>
  <c r="A17" i="142" s="1"/>
  <c r="A18" i="142" s="1"/>
  <c r="A19" i="142" s="1"/>
  <c r="A20" i="142" s="1"/>
  <c r="A21" i="142" s="1"/>
  <c r="A22" i="142" s="1"/>
  <c r="A23" i="142" s="1"/>
  <c r="A24" i="142" s="1"/>
  <c r="A25" i="142" s="1"/>
  <c r="A26" i="142" s="1"/>
  <c r="A27" i="142" s="1"/>
  <c r="A28" i="142" s="1"/>
  <c r="A29" i="142" s="1"/>
  <c r="A30" i="142" s="1"/>
  <c r="A31" i="142" s="1"/>
  <c r="A32" i="142" s="1"/>
  <c r="J10" i="142"/>
  <c r="J11" i="142" s="1"/>
  <c r="J12" i="142" s="1"/>
  <c r="J13" i="142" s="1"/>
  <c r="J14" i="142" s="1"/>
  <c r="J15" i="142" s="1"/>
  <c r="J16" i="142" s="1"/>
  <c r="J17" i="142" s="1"/>
  <c r="J18" i="142" s="1"/>
  <c r="J19" i="142" s="1"/>
  <c r="J20" i="142" s="1"/>
  <c r="J21" i="142" s="1"/>
  <c r="J22" i="142" s="1"/>
  <c r="J23" i="142" s="1"/>
  <c r="J24" i="142" s="1"/>
  <c r="J25" i="142" s="1"/>
  <c r="J26" i="142" s="1"/>
  <c r="J27" i="142" s="1"/>
  <c r="J28" i="142" s="1"/>
  <c r="J29" i="142" s="1"/>
  <c r="J30" i="142" s="1"/>
  <c r="J31" i="142" s="1"/>
  <c r="J32" i="142" s="1"/>
  <c r="B4" i="142"/>
  <c r="B3" i="142"/>
  <c r="A11" i="137"/>
  <c r="A12" i="137" s="1"/>
  <c r="A13" i="137" s="1"/>
  <c r="A14" i="137" s="1"/>
  <c r="A15" i="137" s="1"/>
  <c r="A16" i="137" s="1"/>
  <c r="A17" i="137" s="1"/>
  <c r="A18" i="137" s="1"/>
  <c r="H10" i="137"/>
  <c r="H11" i="137" s="1"/>
  <c r="H12" i="137" s="1"/>
  <c r="H13" i="137" s="1"/>
  <c r="H14" i="137" s="1"/>
  <c r="H15" i="137" s="1"/>
  <c r="H16" i="137" s="1"/>
  <c r="H17" i="137" s="1"/>
  <c r="H18" i="137" s="1"/>
  <c r="B4" i="137"/>
  <c r="F204" i="82"/>
  <c r="I196" i="82"/>
  <c r="I197" i="82" s="1"/>
  <c r="I198" i="82" s="1"/>
  <c r="I199" i="82" s="1"/>
  <c r="I200" i="82" s="1"/>
  <c r="I201" i="82" s="1"/>
  <c r="I202" i="82" s="1"/>
  <c r="I203" i="82" s="1"/>
  <c r="I204" i="82" s="1"/>
  <c r="I205" i="82" s="1"/>
  <c r="I206" i="82" s="1"/>
  <c r="I207" i="82" s="1"/>
  <c r="I208" i="82" s="1"/>
  <c r="I209" i="82" s="1"/>
  <c r="I210" i="82" s="1"/>
  <c r="I211" i="82" s="1"/>
  <c r="I212" i="82" s="1"/>
  <c r="A196" i="82"/>
  <c r="A197" i="82" s="1"/>
  <c r="A198" i="82" s="1"/>
  <c r="A199" i="82" s="1"/>
  <c r="A200" i="82" s="1"/>
  <c r="A201" i="82" s="1"/>
  <c r="A202" i="82" s="1"/>
  <c r="A203" i="82" s="1"/>
  <c r="A204" i="82" s="1"/>
  <c r="A205" i="82" s="1"/>
  <c r="A206" i="82" s="1"/>
  <c r="A207" i="82" s="1"/>
  <c r="A208" i="82" s="1"/>
  <c r="A209" i="82" s="1"/>
  <c r="A210" i="82" s="1"/>
  <c r="A211" i="82" s="1"/>
  <c r="A212" i="82" s="1"/>
  <c r="I107" i="82"/>
  <c r="I108" i="82" s="1"/>
  <c r="I109" i="82" s="1"/>
  <c r="I110" i="82" s="1"/>
  <c r="I111" i="82" s="1"/>
  <c r="I112" i="82" s="1"/>
  <c r="I113" i="82" s="1"/>
  <c r="I114" i="82" s="1"/>
  <c r="I115" i="82" s="1"/>
  <c r="I116" i="82" s="1"/>
  <c r="I117" i="82" s="1"/>
  <c r="I118" i="82" s="1"/>
  <c r="I119" i="82" s="1"/>
  <c r="I120" i="82" s="1"/>
  <c r="I121" i="82" s="1"/>
  <c r="I122" i="82" s="1"/>
  <c r="I123" i="82" s="1"/>
  <c r="A107" i="82"/>
  <c r="A108" i="82" s="1"/>
  <c r="A109" i="82" s="1"/>
  <c r="A110" i="82" s="1"/>
  <c r="A111" i="82" s="1"/>
  <c r="A112" i="82" s="1"/>
  <c r="A113" i="82" s="1"/>
  <c r="A114" i="82" s="1"/>
  <c r="A115" i="82" s="1"/>
  <c r="A116" i="82" s="1"/>
  <c r="A117" i="82" s="1"/>
  <c r="A118" i="82" s="1"/>
  <c r="A119" i="82" s="1"/>
  <c r="A120" i="82" s="1"/>
  <c r="A121" i="82" s="1"/>
  <c r="A122" i="82" s="1"/>
  <c r="A123" i="82" s="1"/>
  <c r="D74" i="82"/>
  <c r="A12" i="82"/>
  <c r="A13" i="82" s="1"/>
  <c r="A14" i="82" s="1"/>
  <c r="I11" i="82"/>
  <c r="I12" i="82" s="1"/>
  <c r="I13" i="82" s="1"/>
  <c r="I14" i="82" s="1"/>
  <c r="B5" i="82"/>
  <c r="B62" i="82" s="1"/>
  <c r="P5" i="79"/>
  <c r="P4" i="79"/>
  <c r="P3" i="79"/>
  <c r="P2" i="79"/>
  <c r="A12" i="77"/>
  <c r="A13" i="77" s="1"/>
  <c r="A14" i="77" s="1"/>
  <c r="A15" i="77" s="1"/>
  <c r="A16" i="77" s="1"/>
  <c r="A17" i="77" s="1"/>
  <c r="A18" i="77" s="1"/>
  <c r="A19" i="77" s="1"/>
  <c r="A20" i="77" s="1"/>
  <c r="A21" i="77" s="1"/>
  <c r="A22" i="77" s="1"/>
  <c r="A23" i="77" s="1"/>
  <c r="A24" i="77" s="1"/>
  <c r="A25" i="77" s="1"/>
  <c r="H11" i="77"/>
  <c r="H12" i="77" s="1"/>
  <c r="H13" i="77" s="1"/>
  <c r="H14" i="77" s="1"/>
  <c r="H15" i="77" s="1"/>
  <c r="H16" i="77" s="1"/>
  <c r="H17" i="77" s="1"/>
  <c r="H18" i="77" s="1"/>
  <c r="H19" i="77" s="1"/>
  <c r="H20" i="77" s="1"/>
  <c r="H21" i="77" s="1"/>
  <c r="H22" i="77" s="1"/>
  <c r="H23" i="77" s="1"/>
  <c r="H24" i="77" s="1"/>
  <c r="H25" i="77" s="1"/>
  <c r="B5" i="77"/>
  <c r="G32" i="153"/>
  <c r="G31" i="153"/>
  <c r="G30" i="153"/>
  <c r="G29" i="153"/>
  <c r="G24" i="153"/>
  <c r="G23" i="153"/>
  <c r="G22" i="153"/>
  <c r="A13" i="153"/>
  <c r="I12" i="153"/>
  <c r="I13" i="153" s="1"/>
  <c r="A11" i="75"/>
  <c r="A12" i="75" s="1"/>
  <c r="A13" i="75" s="1"/>
  <c r="A14" i="75" s="1"/>
  <c r="A15" i="75" s="1"/>
  <c r="A16" i="75" s="1"/>
  <c r="A17" i="75" s="1"/>
  <c r="A18" i="75" s="1"/>
  <c r="A19" i="75" s="1"/>
  <c r="B5" i="75"/>
  <c r="A11" i="74"/>
  <c r="B5" i="74"/>
  <c r="E11" i="72"/>
  <c r="E151" i="132" s="1"/>
  <c r="E86" i="132" s="1"/>
  <c r="A15" i="73"/>
  <c r="A16" i="73" s="1"/>
  <c r="A17" i="73" s="1"/>
  <c r="A18" i="73" s="1"/>
  <c r="A19" i="73" s="1"/>
  <c r="A20" i="73" s="1"/>
  <c r="A21" i="73" s="1"/>
  <c r="A22" i="73" s="1"/>
  <c r="A23" i="73" s="1"/>
  <c r="A24" i="73" s="1"/>
  <c r="A25" i="73" s="1"/>
  <c r="A26" i="73" s="1"/>
  <c r="A27" i="73" s="1"/>
  <c r="A28" i="73" s="1"/>
  <c r="A29" i="73" s="1"/>
  <c r="A30" i="73" s="1"/>
  <c r="A31" i="73" s="1"/>
  <c r="A32" i="73" s="1"/>
  <c r="G14" i="73"/>
  <c r="G15" i="73" s="1"/>
  <c r="G16" i="73" s="1"/>
  <c r="G17" i="73" s="1"/>
  <c r="G18" i="73" s="1"/>
  <c r="G19" i="73" s="1"/>
  <c r="G20" i="73" s="1"/>
  <c r="G21" i="73" s="1"/>
  <c r="G22" i="73" s="1"/>
  <c r="G23" i="73" s="1"/>
  <c r="G24" i="73" s="1"/>
  <c r="G25" i="73" s="1"/>
  <c r="G26" i="73" s="1"/>
  <c r="G27" i="73" s="1"/>
  <c r="G28" i="73" s="1"/>
  <c r="G29" i="73" s="1"/>
  <c r="G30" i="73" s="1"/>
  <c r="G31" i="73" s="1"/>
  <c r="G32" i="73" s="1"/>
  <c r="H11" i="72"/>
  <c r="B5" i="72"/>
  <c r="A14" i="71"/>
  <c r="A15" i="71" s="1"/>
  <c r="A16" i="71" s="1"/>
  <c r="A17" i="71" s="1"/>
  <c r="A18" i="71" s="1"/>
  <c r="A19" i="71" s="1"/>
  <c r="A20" i="71" s="1"/>
  <c r="A21" i="71" s="1"/>
  <c r="A22" i="71" s="1"/>
  <c r="A23" i="71" s="1"/>
  <c r="A24" i="71" s="1"/>
  <c r="A25" i="71" s="1"/>
  <c r="A26" i="71" s="1"/>
  <c r="A27" i="71" s="1"/>
  <c r="A28" i="71" s="1"/>
  <c r="A29" i="71" s="1"/>
  <c r="A30" i="71" s="1"/>
  <c r="A31" i="71" s="1"/>
  <c r="E14" i="71"/>
  <c r="E15" i="71" s="1"/>
  <c r="E16" i="71" s="1"/>
  <c r="E17" i="71" s="1"/>
  <c r="E18" i="71" s="1"/>
  <c r="E19" i="71" s="1"/>
  <c r="E20" i="71" s="1"/>
  <c r="E21" i="71" s="1"/>
  <c r="E22" i="71" s="1"/>
  <c r="E23" i="71" s="1"/>
  <c r="E24" i="71" s="1"/>
  <c r="E25" i="71" s="1"/>
  <c r="E26" i="71" s="1"/>
  <c r="E27" i="71" s="1"/>
  <c r="E28" i="71" s="1"/>
  <c r="E29" i="71" s="1"/>
  <c r="E30" i="71" s="1"/>
  <c r="E31" i="71" s="1"/>
  <c r="A16" i="70"/>
  <c r="A17" i="70" s="1"/>
  <c r="A18" i="70" s="1"/>
  <c r="A19" i="70" s="1"/>
  <c r="A20" i="70" s="1"/>
  <c r="A21" i="70" s="1"/>
  <c r="A22" i="70" s="1"/>
  <c r="A23" i="70" s="1"/>
  <c r="A24" i="70" s="1"/>
  <c r="A25" i="70" s="1"/>
  <c r="A26" i="70" s="1"/>
  <c r="A27" i="70" s="1"/>
  <c r="A28" i="70" s="1"/>
  <c r="A29" i="70" s="1"/>
  <c r="A30" i="70" s="1"/>
  <c r="A31" i="70" s="1"/>
  <c r="A32" i="70" s="1"/>
  <c r="A33" i="70" s="1"/>
  <c r="E15" i="70"/>
  <c r="E16" i="70" s="1"/>
  <c r="E17" i="70" s="1"/>
  <c r="E18" i="70" s="1"/>
  <c r="E19" i="70" s="1"/>
  <c r="E20" i="70" s="1"/>
  <c r="E21" i="70" s="1"/>
  <c r="E22" i="70" s="1"/>
  <c r="E23" i="70" s="1"/>
  <c r="E24" i="70" s="1"/>
  <c r="E25" i="70" s="1"/>
  <c r="E26" i="70" s="1"/>
  <c r="E27" i="70" s="1"/>
  <c r="E28" i="70" s="1"/>
  <c r="E29" i="70" s="1"/>
  <c r="E30" i="70" s="1"/>
  <c r="E31" i="70" s="1"/>
  <c r="E32" i="70" s="1"/>
  <c r="E33" i="70" s="1"/>
  <c r="A12" i="69"/>
  <c r="A13" i="69" s="1"/>
  <c r="J11" i="69"/>
  <c r="J12" i="69" s="1"/>
  <c r="B5" i="69"/>
  <c r="A12" i="66"/>
  <c r="H11" i="66"/>
  <c r="H12" i="66" s="1"/>
  <c r="B5" i="66"/>
  <c r="A18" i="64"/>
  <c r="E17" i="64"/>
  <c r="E18" i="64" s="1"/>
  <c r="A18" i="65"/>
  <c r="E17" i="65"/>
  <c r="E18" i="65" s="1"/>
  <c r="E29" i="46"/>
  <c r="E55" i="144" s="1"/>
  <c r="A15" i="63"/>
  <c r="H14" i="63"/>
  <c r="H15" i="63" s="1"/>
  <c r="E17" i="46"/>
  <c r="A14" i="59"/>
  <c r="A15" i="59" s="1"/>
  <c r="A16" i="59" s="1"/>
  <c r="F13" i="59"/>
  <c r="F14" i="59" s="1"/>
  <c r="F15" i="59" s="1"/>
  <c r="F16" i="59" s="1"/>
  <c r="A16" i="56"/>
  <c r="E15" i="56"/>
  <c r="E16" i="56" s="1"/>
  <c r="A11" i="53"/>
  <c r="A12" i="53" s="1"/>
  <c r="A13" i="53" s="1"/>
  <c r="A14" i="53" s="1"/>
  <c r="A15" i="53" s="1"/>
  <c r="A16" i="53" s="1"/>
  <c r="E10" i="53"/>
  <c r="E11" i="53" s="1"/>
  <c r="E12" i="53" s="1"/>
  <c r="E13" i="53" s="1"/>
  <c r="E14" i="53" s="1"/>
  <c r="E15" i="53" s="1"/>
  <c r="E16" i="53" s="1"/>
  <c r="A16" i="52"/>
  <c r="F15" i="52"/>
  <c r="F16" i="52" s="1"/>
  <c r="I23" i="48"/>
  <c r="I40" i="48" s="1"/>
  <c r="H23" i="48"/>
  <c r="H40" i="48" s="1"/>
  <c r="G23" i="48"/>
  <c r="G40" i="48" s="1"/>
  <c r="F23" i="48"/>
  <c r="F40" i="48" s="1"/>
  <c r="E23" i="48"/>
  <c r="E40" i="48" s="1"/>
  <c r="D23" i="48"/>
  <c r="D40" i="48" s="1"/>
  <c r="D26" i="47" s="1"/>
  <c r="A17" i="48"/>
  <c r="A18" i="48" s="1"/>
  <c r="A19" i="48" s="1"/>
  <c r="A20" i="48" s="1"/>
  <c r="A21" i="48" s="1"/>
  <c r="A22" i="48" s="1"/>
  <c r="A23" i="48" s="1"/>
  <c r="A24" i="48" s="1"/>
  <c r="A25" i="48" s="1"/>
  <c r="L16" i="48"/>
  <c r="L17" i="48" s="1"/>
  <c r="L18" i="48" s="1"/>
  <c r="L19" i="48" s="1"/>
  <c r="L20" i="48" s="1"/>
  <c r="L21" i="48" s="1"/>
  <c r="L22" i="48" s="1"/>
  <c r="L23" i="48" s="1"/>
  <c r="L24" i="48" s="1"/>
  <c r="L25" i="48" s="1"/>
  <c r="A13" i="47"/>
  <c r="A14" i="47" s="1"/>
  <c r="A15" i="47" s="1"/>
  <c r="A16" i="47" s="1"/>
  <c r="A17" i="47" s="1"/>
  <c r="A18" i="47" s="1"/>
  <c r="A19" i="47" s="1"/>
  <c r="A20" i="47" s="1"/>
  <c r="A21" i="47" s="1"/>
  <c r="A22" i="47" s="1"/>
  <c r="A23" i="47" s="1"/>
  <c r="A24" i="47" s="1"/>
  <c r="A25" i="47" s="1"/>
  <c r="A26" i="47" s="1"/>
  <c r="A27" i="47" s="1"/>
  <c r="J12" i="47"/>
  <c r="J13" i="47" s="1"/>
  <c r="J14" i="47" s="1"/>
  <c r="J15" i="47" s="1"/>
  <c r="J16" i="47" s="1"/>
  <c r="J17" i="47" s="1"/>
  <c r="J18" i="47" s="1"/>
  <c r="J19" i="47" s="1"/>
  <c r="J20" i="47" s="1"/>
  <c r="J21" i="47" s="1"/>
  <c r="J22" i="47" s="1"/>
  <c r="J23" i="47" s="1"/>
  <c r="J24" i="47" s="1"/>
  <c r="J25" i="47" s="1"/>
  <c r="J26" i="47" s="1"/>
  <c r="J27" i="47" s="1"/>
  <c r="E33" i="46"/>
  <c r="E20" i="132" s="1"/>
  <c r="E31" i="46"/>
  <c r="E68" i="144" s="1"/>
  <c r="E15" i="46"/>
  <c r="E13" i="46"/>
  <c r="A12" i="46"/>
  <c r="A13" i="46" s="1"/>
  <c r="A14" i="46" s="1"/>
  <c r="A15" i="46" s="1"/>
  <c r="A16" i="46" s="1"/>
  <c r="A17" i="46" s="1"/>
  <c r="A18" i="46" s="1"/>
  <c r="A19" i="46" s="1"/>
  <c r="A20" i="46" s="1"/>
  <c r="A21" i="46" s="1"/>
  <c r="A22" i="46" s="1"/>
  <c r="A23" i="46" s="1"/>
  <c r="A24" i="46" s="1"/>
  <c r="A25" i="46" s="1"/>
  <c r="A26" i="46" s="1"/>
  <c r="A27" i="46" s="1"/>
  <c r="A28" i="46" s="1"/>
  <c r="A29" i="46" s="1"/>
  <c r="A30" i="46" s="1"/>
  <c r="A31" i="46" s="1"/>
  <c r="A32" i="46" s="1"/>
  <c r="A33" i="46" s="1"/>
  <c r="H11" i="46"/>
  <c r="H12" i="46" s="1"/>
  <c r="H13" i="46" s="1"/>
  <c r="H14" i="46" s="1"/>
  <c r="H15" i="46" s="1"/>
  <c r="H16" i="46" s="1"/>
  <c r="H17" i="46" s="1"/>
  <c r="H18" i="46" s="1"/>
  <c r="H19" i="46" s="1"/>
  <c r="H20" i="46" s="1"/>
  <c r="H21" i="46" s="1"/>
  <c r="H22" i="46" s="1"/>
  <c r="H23" i="46" s="1"/>
  <c r="H24" i="46" s="1"/>
  <c r="H25" i="46" s="1"/>
  <c r="H26" i="46" s="1"/>
  <c r="H27" i="46" s="1"/>
  <c r="H28" i="46" s="1"/>
  <c r="H29" i="46" s="1"/>
  <c r="H30" i="46" s="1"/>
  <c r="H31" i="46" s="1"/>
  <c r="H32" i="46" s="1"/>
  <c r="H33" i="46" s="1"/>
  <c r="B5" i="46"/>
  <c r="A12" i="45"/>
  <c r="A13" i="45" s="1"/>
  <c r="A14" i="45" s="1"/>
  <c r="A15" i="45" s="1"/>
  <c r="A16" i="45" s="1"/>
  <c r="A17" i="45" s="1"/>
  <c r="A18" i="45" s="1"/>
  <c r="A19" i="45" s="1"/>
  <c r="A20" i="45" s="1"/>
  <c r="A21" i="45" s="1"/>
  <c r="A22" i="45" s="1"/>
  <c r="A23" i="45" s="1"/>
  <c r="A24" i="45" s="1"/>
  <c r="A25" i="45" s="1"/>
  <c r="H11" i="45"/>
  <c r="H12" i="45" s="1"/>
  <c r="H13" i="45" s="1"/>
  <c r="H14" i="45" s="1"/>
  <c r="H15" i="45" s="1"/>
  <c r="H16" i="45" s="1"/>
  <c r="H17" i="45" s="1"/>
  <c r="H18" i="45" s="1"/>
  <c r="H19" i="45" s="1"/>
  <c r="H20" i="45" s="1"/>
  <c r="H21" i="45" s="1"/>
  <c r="H22" i="45" s="1"/>
  <c r="H23" i="45" s="1"/>
  <c r="H24" i="45" s="1"/>
  <c r="H25" i="45" s="1"/>
  <c r="B5" i="45"/>
  <c r="A12" i="41"/>
  <c r="A13" i="41" s="1"/>
  <c r="A14" i="41" s="1"/>
  <c r="A15" i="41" s="1"/>
  <c r="A16" i="41" s="1"/>
  <c r="A17" i="41" s="1"/>
  <c r="A18" i="41" s="1"/>
  <c r="A19" i="41" s="1"/>
  <c r="A20" i="41" s="1"/>
  <c r="A21" i="41" s="1"/>
  <c r="A22" i="41" s="1"/>
  <c r="A23" i="41" s="1"/>
  <c r="A24" i="41" s="1"/>
  <c r="A25" i="41" s="1"/>
  <c r="G27" i="41" s="1"/>
  <c r="H11" i="41"/>
  <c r="H12" i="41" s="1"/>
  <c r="H13" i="41" s="1"/>
  <c r="H14" i="41" s="1"/>
  <c r="H15" i="41" s="1"/>
  <c r="H16" i="41" s="1"/>
  <c r="H17" i="41" s="1"/>
  <c r="H18" i="41" s="1"/>
  <c r="H19" i="41" s="1"/>
  <c r="H20" i="41" s="1"/>
  <c r="H21" i="41" s="1"/>
  <c r="H22" i="41" s="1"/>
  <c r="H23" i="41" s="1"/>
  <c r="H24" i="41" s="1"/>
  <c r="H25" i="41" s="1"/>
  <c r="H26" i="41" s="1"/>
  <c r="H27" i="41" s="1"/>
  <c r="H28" i="41" s="1"/>
  <c r="H29" i="41" s="1"/>
  <c r="H30" i="41" s="1"/>
  <c r="H31" i="41" s="1"/>
  <c r="H32" i="41" s="1"/>
  <c r="H33" i="41" s="1"/>
  <c r="H34" i="41" s="1"/>
  <c r="H35" i="41" s="1"/>
  <c r="H36" i="41" s="1"/>
  <c r="H37" i="41" s="1"/>
  <c r="H38" i="41" s="1"/>
  <c r="H39" i="41" s="1"/>
  <c r="H40" i="41" s="1"/>
  <c r="H41" i="41" s="1"/>
  <c r="H42" i="41" s="1"/>
  <c r="H43" i="41" s="1"/>
  <c r="H44" i="41" s="1"/>
  <c r="H45" i="41" s="1"/>
  <c r="H46" i="41" s="1"/>
  <c r="H47" i="41" s="1"/>
  <c r="H48" i="41" s="1"/>
  <c r="H49" i="41" s="1"/>
  <c r="H50" i="41" s="1"/>
  <c r="H51" i="41" s="1"/>
  <c r="H52" i="41" s="1"/>
  <c r="H53" i="41" s="1"/>
  <c r="H54" i="41" s="1"/>
  <c r="H55" i="41" s="1"/>
  <c r="H56" i="41" s="1"/>
  <c r="H57" i="41" s="1"/>
  <c r="H58" i="41" s="1"/>
  <c r="E26" i="69"/>
  <c r="E34" i="69" s="1"/>
  <c r="E38" i="69" s="1"/>
  <c r="A12" i="40"/>
  <c r="A13" i="40" s="1"/>
  <c r="A14" i="40" s="1"/>
  <c r="A15" i="40" s="1"/>
  <c r="A16" i="40" s="1"/>
  <c r="H11" i="40"/>
  <c r="H12" i="40" s="1"/>
  <c r="H13" i="40" s="1"/>
  <c r="B5" i="40"/>
  <c r="A13" i="135"/>
  <c r="A14" i="135" s="1"/>
  <c r="A15" i="135" s="1"/>
  <c r="A16" i="135" s="1"/>
  <c r="A17" i="135" s="1"/>
  <c r="G12" i="135"/>
  <c r="G13" i="135" s="1"/>
  <c r="G14" i="135" s="1"/>
  <c r="G15" i="135" s="1"/>
  <c r="G16" i="135" s="1"/>
  <c r="G17" i="135" s="1"/>
  <c r="E11" i="38"/>
  <c r="A15" i="109"/>
  <c r="A16" i="109" s="1"/>
  <c r="A17" i="109" s="1"/>
  <c r="A18" i="109" s="1"/>
  <c r="A19" i="109" s="1"/>
  <c r="A20" i="109" s="1"/>
  <c r="A21" i="109" s="1"/>
  <c r="A22" i="109" s="1"/>
  <c r="A23" i="109" s="1"/>
  <c r="A24" i="109" s="1"/>
  <c r="A25" i="109" s="1"/>
  <c r="A26" i="109" s="1"/>
  <c r="A27" i="109" s="1"/>
  <c r="A28" i="109" s="1"/>
  <c r="A29" i="109" s="1"/>
  <c r="A30" i="109" s="1"/>
  <c r="A31" i="109" s="1"/>
  <c r="A32" i="109" s="1"/>
  <c r="E14" i="109"/>
  <c r="E15" i="109" s="1"/>
  <c r="E16" i="109" s="1"/>
  <c r="E17" i="109" s="1"/>
  <c r="E18" i="109" s="1"/>
  <c r="E19" i="109" s="1"/>
  <c r="E20" i="109" s="1"/>
  <c r="E21" i="109" s="1"/>
  <c r="E22" i="109" s="1"/>
  <c r="E23" i="109" s="1"/>
  <c r="E24" i="109" s="1"/>
  <c r="E25" i="109" s="1"/>
  <c r="E26" i="109" s="1"/>
  <c r="E27" i="109" s="1"/>
  <c r="E28" i="109" s="1"/>
  <c r="E29" i="109" s="1"/>
  <c r="E30" i="109" s="1"/>
  <c r="E31" i="109" s="1"/>
  <c r="E32" i="109" s="1"/>
  <c r="A11" i="38"/>
  <c r="H11" i="38" s="1"/>
  <c r="B5" i="38"/>
  <c r="A12" i="36"/>
  <c r="A13" i="36" s="1"/>
  <c r="A14" i="36" s="1"/>
  <c r="A15" i="36" s="1"/>
  <c r="I11" i="36"/>
  <c r="I12" i="36" s="1"/>
  <c r="I13" i="36" s="1"/>
  <c r="I14" i="36" s="1"/>
  <c r="I15" i="36" s="1"/>
  <c r="E9" i="36"/>
  <c r="C9" i="36"/>
  <c r="G15" i="34"/>
  <c r="A13" i="151"/>
  <c r="K12" i="151"/>
  <c r="K13" i="151" s="1"/>
  <c r="A13" i="152"/>
  <c r="L12" i="152"/>
  <c r="L13" i="152" s="1"/>
  <c r="L14" i="152" s="1"/>
  <c r="L15" i="152" s="1"/>
  <c r="L16" i="152" s="1"/>
  <c r="L17" i="152" s="1"/>
  <c r="G23" i="34"/>
  <c r="E23" i="34"/>
  <c r="G21" i="34"/>
  <c r="E21" i="34"/>
  <c r="G19" i="34"/>
  <c r="E19" i="34"/>
  <c r="A12" i="34"/>
  <c r="A13" i="34" s="1"/>
  <c r="A14" i="34" s="1"/>
  <c r="A15" i="34" s="1"/>
  <c r="A16" i="34" s="1"/>
  <c r="A17" i="34" s="1"/>
  <c r="A18" i="34" s="1"/>
  <c r="A19" i="34" s="1"/>
  <c r="A20" i="34" s="1"/>
  <c r="A21" i="34" s="1"/>
  <c r="A22" i="34" s="1"/>
  <c r="A23" i="34" s="1"/>
  <c r="L11" i="34"/>
  <c r="L12" i="34" s="1"/>
  <c r="L13" i="34" s="1"/>
  <c r="L14" i="34" s="1"/>
  <c r="L15" i="34" s="1"/>
  <c r="L16" i="34" s="1"/>
  <c r="L17" i="34" s="1"/>
  <c r="L18" i="34" s="1"/>
  <c r="L19" i="34" s="1"/>
  <c r="L20" i="34" s="1"/>
  <c r="L21" i="34" s="1"/>
  <c r="L22" i="34" s="1"/>
  <c r="L23" i="34" s="1"/>
  <c r="G9" i="34"/>
  <c r="E9" i="34"/>
  <c r="B5" i="34"/>
  <c r="I29" i="22"/>
  <c r="A15" i="30"/>
  <c r="A16" i="30" s="1"/>
  <c r="A17" i="30" s="1"/>
  <c r="A18" i="30" s="1"/>
  <c r="A19" i="30" s="1"/>
  <c r="A20" i="30" s="1"/>
  <c r="A21" i="30" s="1"/>
  <c r="A22" i="30" s="1"/>
  <c r="A23" i="30" s="1"/>
  <c r="A24" i="30" s="1"/>
  <c r="A25" i="30" s="1"/>
  <c r="A26" i="30" s="1"/>
  <c r="A27" i="30" s="1"/>
  <c r="A28" i="30" s="1"/>
  <c r="A29" i="30" s="1"/>
  <c r="A30" i="30" s="1"/>
  <c r="A31" i="30" s="1"/>
  <c r="A32" i="30" s="1"/>
  <c r="G14" i="30"/>
  <c r="G15" i="30" s="1"/>
  <c r="G16" i="30" s="1"/>
  <c r="G17" i="30" s="1"/>
  <c r="G18" i="30" s="1"/>
  <c r="G19" i="30" s="1"/>
  <c r="G20" i="30" s="1"/>
  <c r="G21" i="30" s="1"/>
  <c r="G22" i="30" s="1"/>
  <c r="G23" i="30" s="1"/>
  <c r="G24" i="30" s="1"/>
  <c r="G25" i="30" s="1"/>
  <c r="G26" i="30" s="1"/>
  <c r="G27" i="30" s="1"/>
  <c r="G28" i="30" s="1"/>
  <c r="G29" i="30" s="1"/>
  <c r="G30" i="30" s="1"/>
  <c r="G31" i="30" s="1"/>
  <c r="G32" i="30" s="1"/>
  <c r="D19" i="27"/>
  <c r="D15" i="27"/>
  <c r="E17" i="192" s="1"/>
  <c r="A14" i="27"/>
  <c r="A15" i="27" s="1"/>
  <c r="A16" i="27" s="1"/>
  <c r="A17" i="27" s="1"/>
  <c r="A18" i="27" s="1"/>
  <c r="A19" i="27" s="1"/>
  <c r="A20" i="27" s="1"/>
  <c r="A21" i="27" s="1"/>
  <c r="A22" i="27" s="1"/>
  <c r="A23" i="27" s="1"/>
  <c r="F13" i="27"/>
  <c r="F14" i="27" s="1"/>
  <c r="F15" i="27" s="1"/>
  <c r="F16" i="27" s="1"/>
  <c r="F17" i="27" s="1"/>
  <c r="F18" i="27" s="1"/>
  <c r="F19" i="27" s="1"/>
  <c r="F20" i="27" s="1"/>
  <c r="F21" i="27" s="1"/>
  <c r="F22" i="27" s="1"/>
  <c r="F23" i="27" s="1"/>
  <c r="A15" i="26"/>
  <c r="A16" i="26" s="1"/>
  <c r="A17" i="26" s="1"/>
  <c r="A18" i="26" s="1"/>
  <c r="A19" i="26" s="1"/>
  <c r="A20" i="26" s="1"/>
  <c r="F14" i="26"/>
  <c r="F15" i="26" s="1"/>
  <c r="F16" i="26" s="1"/>
  <c r="F17" i="26" s="1"/>
  <c r="F18" i="26" s="1"/>
  <c r="F19" i="26" s="1"/>
  <c r="F20" i="26" s="1"/>
  <c r="A15" i="25"/>
  <c r="A16" i="25" s="1"/>
  <c r="A17" i="25" s="1"/>
  <c r="A18" i="25" s="1"/>
  <c r="A19" i="25" s="1"/>
  <c r="A20" i="25" s="1"/>
  <c r="F14" i="25"/>
  <c r="F15" i="25" s="1"/>
  <c r="F16" i="25" s="1"/>
  <c r="F17" i="25" s="1"/>
  <c r="F18" i="25" s="1"/>
  <c r="F19" i="25" s="1"/>
  <c r="F20" i="25" s="1"/>
  <c r="I37" i="24"/>
  <c r="J22" i="24"/>
  <c r="J39" i="24" s="1"/>
  <c r="I22" i="24"/>
  <c r="H22" i="24"/>
  <c r="H39" i="24" s="1"/>
  <c r="G22" i="24"/>
  <c r="G39" i="24" s="1"/>
  <c r="F22" i="24"/>
  <c r="F39" i="24" s="1"/>
  <c r="E22" i="24"/>
  <c r="E39" i="24" s="1"/>
  <c r="D22" i="24"/>
  <c r="D39" i="24" s="1"/>
  <c r="A17" i="24"/>
  <c r="A18" i="24" s="1"/>
  <c r="A19" i="24" s="1"/>
  <c r="A20" i="24" s="1"/>
  <c r="A21" i="24" s="1"/>
  <c r="A22" i="24" s="1"/>
  <c r="A23" i="24" s="1"/>
  <c r="A24" i="24" s="1"/>
  <c r="M16" i="24"/>
  <c r="M17" i="24" s="1"/>
  <c r="M18" i="24" s="1"/>
  <c r="M19" i="24" s="1"/>
  <c r="M20" i="24" s="1"/>
  <c r="M21" i="24" s="1"/>
  <c r="M22" i="24" s="1"/>
  <c r="M23" i="24" s="1"/>
  <c r="M24" i="24" s="1"/>
  <c r="J22" i="136"/>
  <c r="J39" i="136" s="1"/>
  <c r="I22" i="136"/>
  <c r="I39" i="136" s="1"/>
  <c r="H22" i="136"/>
  <c r="H39" i="136" s="1"/>
  <c r="G22" i="136"/>
  <c r="G39" i="136" s="1"/>
  <c r="F22" i="136"/>
  <c r="F39" i="136" s="1"/>
  <c r="E22" i="136"/>
  <c r="E39" i="136" s="1"/>
  <c r="A17" i="136"/>
  <c r="A18" i="136" s="1"/>
  <c r="A19" i="136" s="1"/>
  <c r="A20" i="136" s="1"/>
  <c r="A21" i="136" s="1"/>
  <c r="A22" i="136" s="1"/>
  <c r="A23" i="136" s="1"/>
  <c r="A24" i="136" s="1"/>
  <c r="M16" i="136"/>
  <c r="M17" i="136" s="1"/>
  <c r="M18" i="136" s="1"/>
  <c r="M19" i="136" s="1"/>
  <c r="M20" i="136" s="1"/>
  <c r="M21" i="136" s="1"/>
  <c r="M22" i="136" s="1"/>
  <c r="M23" i="136" s="1"/>
  <c r="M24" i="136" s="1"/>
  <c r="A15" i="23"/>
  <c r="A16" i="23" s="1"/>
  <c r="A17" i="23" s="1"/>
  <c r="A18" i="23" s="1"/>
  <c r="A19" i="23" s="1"/>
  <c r="A20" i="23" s="1"/>
  <c r="A21" i="23" s="1"/>
  <c r="A22" i="23" s="1"/>
  <c r="A23" i="23" s="1"/>
  <c r="A24" i="23" s="1"/>
  <c r="A25" i="23" s="1"/>
  <c r="A26" i="23" s="1"/>
  <c r="A27" i="23" s="1"/>
  <c r="A28" i="23" s="1"/>
  <c r="A29" i="23" s="1"/>
  <c r="A30" i="23" s="1"/>
  <c r="A31" i="23" s="1"/>
  <c r="A32" i="23" s="1"/>
  <c r="I14" i="23"/>
  <c r="I15" i="23" s="1"/>
  <c r="I16" i="23" s="1"/>
  <c r="I17" i="23" s="1"/>
  <c r="I18" i="23" s="1"/>
  <c r="I19" i="23" s="1"/>
  <c r="I20" i="23" s="1"/>
  <c r="I21" i="23" s="1"/>
  <c r="I22" i="23" s="1"/>
  <c r="I23" i="23" s="1"/>
  <c r="I24" i="23" s="1"/>
  <c r="I25" i="23" s="1"/>
  <c r="I26" i="23" s="1"/>
  <c r="I27" i="23" s="1"/>
  <c r="I28" i="23" s="1"/>
  <c r="I29" i="23" s="1"/>
  <c r="I30" i="23" s="1"/>
  <c r="I31" i="23" s="1"/>
  <c r="I32" i="23" s="1"/>
  <c r="G15" i="22"/>
  <c r="E15" i="22"/>
  <c r="G13" i="22"/>
  <c r="E13" i="22"/>
  <c r="A12" i="22"/>
  <c r="A13" i="22" s="1"/>
  <c r="A14" i="22" s="1"/>
  <c r="A15" i="22" s="1"/>
  <c r="A16" i="22" s="1"/>
  <c r="A17" i="22" s="1"/>
  <c r="A18" i="22" s="1"/>
  <c r="A19" i="22" s="1"/>
  <c r="A20" i="22" s="1"/>
  <c r="A21" i="22" s="1"/>
  <c r="A22" i="22" s="1"/>
  <c r="A23" i="22" s="1"/>
  <c r="A24" i="22" s="1"/>
  <c r="A25" i="22" s="1"/>
  <c r="A26" i="22" s="1"/>
  <c r="A27" i="22" s="1"/>
  <c r="A28" i="22" s="1"/>
  <c r="A29" i="22" s="1"/>
  <c r="L11" i="22"/>
  <c r="L12" i="22" s="1"/>
  <c r="L13" i="22" s="1"/>
  <c r="L14" i="22" s="1"/>
  <c r="L15" i="22" s="1"/>
  <c r="L16" i="22" s="1"/>
  <c r="L17" i="22" s="1"/>
  <c r="L18" i="22" s="1"/>
  <c r="L19" i="22" s="1"/>
  <c r="L20" i="22" s="1"/>
  <c r="L21" i="22" s="1"/>
  <c r="L22" i="22" s="1"/>
  <c r="L23" i="22" s="1"/>
  <c r="L24" i="22" s="1"/>
  <c r="L25" i="22" s="1"/>
  <c r="L26" i="22" s="1"/>
  <c r="L27" i="22" s="1"/>
  <c r="L28" i="22" s="1"/>
  <c r="L29" i="22" s="1"/>
  <c r="G9" i="22"/>
  <c r="E9" i="22"/>
  <c r="D19" i="14"/>
  <c r="D15" i="14"/>
  <c r="E29" i="191" s="1"/>
  <c r="A14" i="14"/>
  <c r="A15" i="14" s="1"/>
  <c r="A16" i="14" s="1"/>
  <c r="A17" i="14" s="1"/>
  <c r="A18" i="14" s="1"/>
  <c r="A19" i="14" s="1"/>
  <c r="A20" i="14" s="1"/>
  <c r="A21" i="14" s="1"/>
  <c r="A22" i="14" s="1"/>
  <c r="A23" i="14" s="1"/>
  <c r="F13" i="14"/>
  <c r="F14" i="14" s="1"/>
  <c r="F15" i="14" s="1"/>
  <c r="F16" i="14" s="1"/>
  <c r="F17" i="14" s="1"/>
  <c r="F18" i="14" s="1"/>
  <c r="F19" i="14" s="1"/>
  <c r="F20" i="14" s="1"/>
  <c r="F21" i="14" s="1"/>
  <c r="F22" i="14" s="1"/>
  <c r="F23" i="14" s="1"/>
  <c r="A15" i="13"/>
  <c r="A16" i="13" s="1"/>
  <c r="A17" i="13" s="1"/>
  <c r="A18" i="13" s="1"/>
  <c r="A19" i="13" s="1"/>
  <c r="A20" i="13" s="1"/>
  <c r="F14" i="13"/>
  <c r="F15" i="13" s="1"/>
  <c r="F16" i="13" s="1"/>
  <c r="F17" i="13" s="1"/>
  <c r="F18" i="13" s="1"/>
  <c r="F19" i="13" s="1"/>
  <c r="F20" i="13" s="1"/>
  <c r="A15" i="3"/>
  <c r="A16" i="3" s="1"/>
  <c r="A17" i="3" s="1"/>
  <c r="A18" i="3" s="1"/>
  <c r="A19" i="3" s="1"/>
  <c r="A20" i="3" s="1"/>
  <c r="E14" i="3"/>
  <c r="E15" i="3" s="1"/>
  <c r="E16" i="3" s="1"/>
  <c r="E17" i="3" s="1"/>
  <c r="E18" i="3" s="1"/>
  <c r="E19" i="3" s="1"/>
  <c r="E20" i="3" s="1"/>
  <c r="I23" i="2"/>
  <c r="A16" i="12"/>
  <c r="A17" i="12" s="1"/>
  <c r="A18" i="12" s="1"/>
  <c r="A19" i="12" s="1"/>
  <c r="A20" i="12" s="1"/>
  <c r="A21" i="12" s="1"/>
  <c r="A22" i="12" s="1"/>
  <c r="A23" i="12" s="1"/>
  <c r="A24" i="12" s="1"/>
  <c r="A25" i="12" s="1"/>
  <c r="A26" i="12" s="1"/>
  <c r="A27" i="12" s="1"/>
  <c r="A28" i="12" s="1"/>
  <c r="A29" i="12" s="1"/>
  <c r="A30" i="12" s="1"/>
  <c r="A31" i="12" s="1"/>
  <c r="A32" i="12" s="1"/>
  <c r="A33" i="12" s="1"/>
  <c r="G15" i="12"/>
  <c r="G16" i="12" s="1"/>
  <c r="G17" i="12" s="1"/>
  <c r="G18" i="12" s="1"/>
  <c r="G19" i="12" s="1"/>
  <c r="G20" i="12" s="1"/>
  <c r="G21" i="12" s="1"/>
  <c r="G22" i="12" s="1"/>
  <c r="G23" i="12" s="1"/>
  <c r="G24" i="12" s="1"/>
  <c r="G25" i="12" s="1"/>
  <c r="G26" i="12" s="1"/>
  <c r="G27" i="12" s="1"/>
  <c r="G28" i="12" s="1"/>
  <c r="G29" i="12" s="1"/>
  <c r="G30" i="12" s="1"/>
  <c r="G31" i="12" s="1"/>
  <c r="G32" i="12" s="1"/>
  <c r="G33" i="12" s="1"/>
  <c r="F36" i="11"/>
  <c r="E36" i="11"/>
  <c r="J21" i="11"/>
  <c r="J38" i="11" s="1"/>
  <c r="I21" i="11"/>
  <c r="I38" i="11" s="1"/>
  <c r="H21" i="11"/>
  <c r="H38" i="11" s="1"/>
  <c r="G21" i="11"/>
  <c r="G38" i="11" s="1"/>
  <c r="F21" i="11"/>
  <c r="E21" i="11"/>
  <c r="D21" i="11"/>
  <c r="D38" i="11" s="1"/>
  <c r="A16" i="11"/>
  <c r="A17" i="11" s="1"/>
  <c r="A18" i="11" s="1"/>
  <c r="A19" i="11" s="1"/>
  <c r="A20" i="11" s="1"/>
  <c r="A21" i="11" s="1"/>
  <c r="A22" i="11" s="1"/>
  <c r="A23" i="11" s="1"/>
  <c r="M15" i="11"/>
  <c r="M16" i="11" s="1"/>
  <c r="M17" i="11" s="1"/>
  <c r="M18" i="11" s="1"/>
  <c r="M19" i="11" s="1"/>
  <c r="M20" i="11" s="1"/>
  <c r="M21" i="11" s="1"/>
  <c r="M22" i="11" s="1"/>
  <c r="M23" i="11" s="1"/>
  <c r="H36" i="10"/>
  <c r="H38" i="10" s="1"/>
  <c r="G36" i="10"/>
  <c r="J21" i="10"/>
  <c r="J38" i="10" s="1"/>
  <c r="I21" i="10"/>
  <c r="I38" i="10" s="1"/>
  <c r="H21" i="10"/>
  <c r="G21" i="10"/>
  <c r="E21" i="10"/>
  <c r="E38" i="10" s="1"/>
  <c r="K16" i="10"/>
  <c r="A16" i="10"/>
  <c r="A17" i="10" s="1"/>
  <c r="A18" i="10" s="1"/>
  <c r="A19" i="10" s="1"/>
  <c r="A20" i="10" s="1"/>
  <c r="A21" i="10" s="1"/>
  <c r="A22" i="10" s="1"/>
  <c r="A23" i="10" s="1"/>
  <c r="M15" i="10"/>
  <c r="M16" i="10" s="1"/>
  <c r="M17" i="10" s="1"/>
  <c r="M18" i="10" s="1"/>
  <c r="M19" i="10" s="1"/>
  <c r="M20" i="10" s="1"/>
  <c r="M21" i="10" s="1"/>
  <c r="M22" i="10" s="1"/>
  <c r="M23" i="10" s="1"/>
  <c r="K15" i="10"/>
  <c r="I21" i="2"/>
  <c r="A15" i="9"/>
  <c r="A16" i="9" s="1"/>
  <c r="A17" i="9" s="1"/>
  <c r="A18" i="9" s="1"/>
  <c r="A19" i="9" s="1"/>
  <c r="A20" i="9" s="1"/>
  <c r="A21" i="9" s="1"/>
  <c r="A22" i="9" s="1"/>
  <c r="A23" i="9" s="1"/>
  <c r="A24" i="9" s="1"/>
  <c r="A25" i="9" s="1"/>
  <c r="A26" i="9" s="1"/>
  <c r="A27" i="9" s="1"/>
  <c r="A28" i="9" s="1"/>
  <c r="A29" i="9" s="1"/>
  <c r="A30" i="9" s="1"/>
  <c r="A31" i="9" s="1"/>
  <c r="A32" i="9" s="1"/>
  <c r="A33" i="9" s="1"/>
  <c r="A34" i="9" s="1"/>
  <c r="I27" i="9"/>
  <c r="I28" i="9" s="1"/>
  <c r="I29" i="9" s="1"/>
  <c r="I30" i="9" s="1"/>
  <c r="I31" i="9" s="1"/>
  <c r="I32" i="9" s="1"/>
  <c r="I33" i="9" s="1"/>
  <c r="I34" i="9" s="1"/>
  <c r="A16" i="8"/>
  <c r="A17" i="8" s="1"/>
  <c r="A18" i="8" s="1"/>
  <c r="A19" i="8" s="1"/>
  <c r="A20" i="8" s="1"/>
  <c r="A21" i="8" s="1"/>
  <c r="I18" i="8"/>
  <c r="I19" i="8" s="1"/>
  <c r="I20" i="8" s="1"/>
  <c r="I21" i="8" s="1"/>
  <c r="F28" i="7"/>
  <c r="F31" i="7" s="1"/>
  <c r="C28" i="7"/>
  <c r="C31" i="7" s="1"/>
  <c r="A15" i="7"/>
  <c r="A16" i="7" s="1"/>
  <c r="A17" i="7" s="1"/>
  <c r="A18" i="7" s="1"/>
  <c r="A19" i="7" s="1"/>
  <c r="A20" i="7" s="1"/>
  <c r="A21" i="7" s="1"/>
  <c r="A22" i="7" s="1"/>
  <c r="A23" i="7" s="1"/>
  <c r="A24" i="7" s="1"/>
  <c r="A25" i="7" s="1"/>
  <c r="A26" i="7" s="1"/>
  <c r="A27" i="7" s="1"/>
  <c r="A28" i="7" s="1"/>
  <c r="A29" i="7" s="1"/>
  <c r="A30" i="7" s="1"/>
  <c r="A31" i="7" s="1"/>
  <c r="A32" i="7" s="1"/>
  <c r="I27" i="7"/>
  <c r="I28" i="7" s="1"/>
  <c r="I29" i="7" s="1"/>
  <c r="I30" i="7" s="1"/>
  <c r="I31" i="7" s="1"/>
  <c r="I32" i="7" s="1"/>
  <c r="I15" i="2"/>
  <c r="A15" i="6"/>
  <c r="A16" i="6" s="1"/>
  <c r="A17" i="6" s="1"/>
  <c r="A18" i="6" s="1"/>
  <c r="A19" i="6" s="1"/>
  <c r="A20" i="6" s="1"/>
  <c r="A21" i="6" s="1"/>
  <c r="A22" i="6" s="1"/>
  <c r="A23" i="6" s="1"/>
  <c r="A24" i="6" s="1"/>
  <c r="A25" i="6" s="1"/>
  <c r="A26" i="6" s="1"/>
  <c r="A27" i="6" s="1"/>
  <c r="A28" i="6" s="1"/>
  <c r="A29" i="6" s="1"/>
  <c r="A30" i="6" s="1"/>
  <c r="A31" i="6" s="1"/>
  <c r="A32" i="6" s="1"/>
  <c r="G14" i="6"/>
  <c r="G15" i="6" s="1"/>
  <c r="G16" i="6" s="1"/>
  <c r="G17" i="6" s="1"/>
  <c r="G18" i="6" s="1"/>
  <c r="G19" i="6" s="1"/>
  <c r="G20" i="6" s="1"/>
  <c r="G21" i="6" s="1"/>
  <c r="G22" i="6" s="1"/>
  <c r="G23" i="6" s="1"/>
  <c r="G24" i="6" s="1"/>
  <c r="G25" i="6" s="1"/>
  <c r="G26" i="6" s="1"/>
  <c r="G27" i="6" s="1"/>
  <c r="G28" i="6" s="1"/>
  <c r="G29" i="6" s="1"/>
  <c r="G30" i="6" s="1"/>
  <c r="G31" i="6" s="1"/>
  <c r="G32" i="6" s="1"/>
  <c r="I13" i="2"/>
  <c r="A15" i="5"/>
  <c r="A16" i="5" s="1"/>
  <c r="A17" i="5" s="1"/>
  <c r="A18" i="5" s="1"/>
  <c r="A19" i="5" s="1"/>
  <c r="A20" i="5" s="1"/>
  <c r="A21" i="5" s="1"/>
  <c r="A22" i="5" s="1"/>
  <c r="A23" i="5" s="1"/>
  <c r="A24" i="5" s="1"/>
  <c r="A25" i="5" s="1"/>
  <c r="A26" i="5" s="1"/>
  <c r="A27" i="5" s="1"/>
  <c r="A28" i="5" s="1"/>
  <c r="A29" i="5" s="1"/>
  <c r="A30" i="5" s="1"/>
  <c r="A31" i="5" s="1"/>
  <c r="A32" i="5" s="1"/>
  <c r="G14" i="5"/>
  <c r="G15" i="5" s="1"/>
  <c r="G16" i="5" s="1"/>
  <c r="G17" i="5" s="1"/>
  <c r="G18" i="5" s="1"/>
  <c r="G19" i="5" s="1"/>
  <c r="G20" i="5" s="1"/>
  <c r="G21" i="5" s="1"/>
  <c r="G22" i="5" s="1"/>
  <c r="G23" i="5" s="1"/>
  <c r="G24" i="5" s="1"/>
  <c r="G25" i="5" s="1"/>
  <c r="G26" i="5" s="1"/>
  <c r="G27" i="5" s="1"/>
  <c r="G28" i="5" s="1"/>
  <c r="G29" i="5" s="1"/>
  <c r="G30" i="5" s="1"/>
  <c r="G31" i="5" s="1"/>
  <c r="G32" i="5" s="1"/>
  <c r="I11" i="2"/>
  <c r="A15" i="4"/>
  <c r="A16" i="4" s="1"/>
  <c r="A17" i="4" s="1"/>
  <c r="A18" i="4" s="1"/>
  <c r="A19" i="4" s="1"/>
  <c r="A20" i="4" s="1"/>
  <c r="A21" i="4" s="1"/>
  <c r="A22" i="4" s="1"/>
  <c r="A23" i="4" s="1"/>
  <c r="A24" i="4" s="1"/>
  <c r="A25" i="4" s="1"/>
  <c r="A26" i="4" s="1"/>
  <c r="A27" i="4" s="1"/>
  <c r="A28" i="4" s="1"/>
  <c r="A29" i="4" s="1"/>
  <c r="A30" i="4" s="1"/>
  <c r="A31" i="4" s="1"/>
  <c r="A32" i="4" s="1"/>
  <c r="I14" i="4"/>
  <c r="I15" i="4" s="1"/>
  <c r="I16" i="4" s="1"/>
  <c r="I17" i="4" s="1"/>
  <c r="I18" i="4" s="1"/>
  <c r="I19" i="4" s="1"/>
  <c r="I20" i="4" s="1"/>
  <c r="I21" i="4" s="1"/>
  <c r="I22" i="4" s="1"/>
  <c r="I23" i="4" s="1"/>
  <c r="I24" i="4" s="1"/>
  <c r="I25" i="4" s="1"/>
  <c r="I26" i="4" s="1"/>
  <c r="I27" i="4" s="1"/>
  <c r="I28" i="4" s="1"/>
  <c r="I29" i="4" s="1"/>
  <c r="I30" i="4" s="1"/>
  <c r="I31" i="4" s="1"/>
  <c r="I32" i="4" s="1"/>
  <c r="G27" i="2"/>
  <c r="E27" i="2"/>
  <c r="G25" i="2"/>
  <c r="E25" i="2"/>
  <c r="G19" i="2"/>
  <c r="E19" i="2"/>
  <c r="A12" i="2"/>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L11" i="2"/>
  <c r="L12" i="2" s="1"/>
  <c r="L13" i="2" s="1"/>
  <c r="L14" i="2" s="1"/>
  <c r="L15" i="2" s="1"/>
  <c r="L16" i="2" s="1"/>
  <c r="L17" i="2" s="1"/>
  <c r="L18" i="2" s="1"/>
  <c r="L19" i="2" s="1"/>
  <c r="L20" i="2" s="1"/>
  <c r="L21" i="2" s="1"/>
  <c r="L22" i="2" s="1"/>
  <c r="L23" i="2" s="1"/>
  <c r="L24" i="2" s="1"/>
  <c r="L25" i="2" s="1"/>
  <c r="L26" i="2" s="1"/>
  <c r="L27" i="2" s="1"/>
  <c r="L28" i="2" s="1"/>
  <c r="L29" i="2" s="1"/>
  <c r="L30" i="2" s="1"/>
  <c r="L31" i="2" s="1"/>
  <c r="L32" i="2" s="1"/>
  <c r="L33" i="2" s="1"/>
  <c r="L34" i="2" s="1"/>
  <c r="L35" i="2" s="1"/>
  <c r="L36" i="2" s="1"/>
  <c r="L37" i="2" s="1"/>
  <c r="L38" i="2" s="1"/>
  <c r="L39" i="2" s="1"/>
  <c r="L40" i="2" s="1"/>
  <c r="L41" i="2" s="1"/>
  <c r="L42" i="2" s="1"/>
  <c r="L43" i="2" s="1"/>
  <c r="L44" i="2" s="1"/>
  <c r="L45" i="2" s="1"/>
  <c r="E19" i="133"/>
  <c r="A12" i="133"/>
  <c r="A13" i="133" s="1"/>
  <c r="A14" i="133" s="1"/>
  <c r="A15" i="133" s="1"/>
  <c r="A16" i="133" s="1"/>
  <c r="A17" i="133" s="1"/>
  <c r="A18" i="133" s="1"/>
  <c r="A19" i="133" s="1"/>
  <c r="A20" i="133" s="1"/>
  <c r="A21" i="133" s="1"/>
  <c r="J11" i="133"/>
  <c r="J12" i="133" s="1"/>
  <c r="J13" i="133" s="1"/>
  <c r="J14" i="133" s="1"/>
  <c r="J15" i="133" s="1"/>
  <c r="J16" i="133" s="1"/>
  <c r="J17" i="133" s="1"/>
  <c r="J18" i="133" s="1"/>
  <c r="J19" i="133" s="1"/>
  <c r="J20" i="133" s="1"/>
  <c r="B245" i="132"/>
  <c r="B161" i="132"/>
  <c r="E147" i="132"/>
  <c r="E135" i="132"/>
  <c r="E121" i="132"/>
  <c r="B106" i="132"/>
  <c r="E39" i="132"/>
  <c r="E35" i="132"/>
  <c r="E15" i="132"/>
  <c r="A57" i="132"/>
  <c r="A58" i="132" s="1"/>
  <c r="A59" i="132" s="1"/>
  <c r="A60" i="132" s="1"/>
  <c r="A61" i="132" s="1"/>
  <c r="A62" i="132" s="1"/>
  <c r="A63" i="132" s="1"/>
  <c r="A64" i="132" s="1"/>
  <c r="A65" i="132" s="1"/>
  <c r="A66" i="132" s="1"/>
  <c r="A67" i="132" s="1"/>
  <c r="A68" i="132" s="1"/>
  <c r="E15" i="77"/>
  <c r="D19" i="142"/>
  <c r="D27" i="142"/>
  <c r="A12" i="74"/>
  <c r="A13" i="74" s="1"/>
  <c r="H11" i="74"/>
  <c r="H12" i="74" s="1"/>
  <c r="H13" i="74" s="1"/>
  <c r="G26" i="47"/>
  <c r="D23" i="142"/>
  <c r="C18" i="142"/>
  <c r="D73" i="82"/>
  <c r="D38" i="10"/>
  <c r="G13" i="34"/>
  <c r="D20" i="142"/>
  <c r="D24" i="142"/>
  <c r="D17" i="142"/>
  <c r="D21" i="142"/>
  <c r="D25" i="142"/>
  <c r="D18" i="142"/>
  <c r="D22" i="142"/>
  <c r="G34" i="116"/>
  <c r="J34" i="116" s="1"/>
  <c r="N34" i="116" s="1"/>
  <c r="G33" i="116"/>
  <c r="J33" i="116" s="1"/>
  <c r="N33" i="116" s="1"/>
  <c r="G32" i="116"/>
  <c r="J32" i="116" s="1"/>
  <c r="N32" i="116" s="1"/>
  <c r="G31" i="116"/>
  <c r="J31" i="116" s="1"/>
  <c r="N31" i="116" s="1"/>
  <c r="G30" i="116"/>
  <c r="J30" i="116" s="1"/>
  <c r="N30" i="116" s="1"/>
  <c r="G29" i="116"/>
  <c r="J29" i="116" s="1"/>
  <c r="N29" i="116" s="1"/>
  <c r="G28" i="116"/>
  <c r="J28" i="116" s="1"/>
  <c r="N28" i="116" s="1"/>
  <c r="G27" i="116"/>
  <c r="J27" i="116" s="1"/>
  <c r="N27" i="116" s="1"/>
  <c r="G26" i="116"/>
  <c r="J26" i="116" s="1"/>
  <c r="N26" i="116" s="1"/>
  <c r="G25" i="116"/>
  <c r="J25" i="116" s="1"/>
  <c r="N25" i="116" s="1"/>
  <c r="G24" i="116"/>
  <c r="J24" i="116" s="1"/>
  <c r="N24" i="116" s="1"/>
  <c r="G23" i="116"/>
  <c r="J23" i="116" s="1"/>
  <c r="N23" i="116" s="1"/>
  <c r="G22" i="116"/>
  <c r="J22" i="116" s="1"/>
  <c r="N22" i="116" s="1"/>
  <c r="G21" i="116"/>
  <c r="J21" i="116" s="1"/>
  <c r="N21" i="116" s="1"/>
  <c r="G20" i="116"/>
  <c r="J20" i="116" s="1"/>
  <c r="N20" i="116" s="1"/>
  <c r="G19" i="116"/>
  <c r="J19" i="116" s="1"/>
  <c r="N19" i="116" s="1"/>
  <c r="G18" i="116"/>
  <c r="J18" i="116" s="1"/>
  <c r="N18" i="116" s="1"/>
  <c r="G17" i="116"/>
  <c r="J17" i="116" s="1"/>
  <c r="N17" i="116" s="1"/>
  <c r="G16" i="116"/>
  <c r="J16" i="116" s="1"/>
  <c r="N16" i="116" s="1"/>
  <c r="G15" i="116"/>
  <c r="J15" i="116" s="1"/>
  <c r="N15" i="116" s="1"/>
  <c r="G14" i="116"/>
  <c r="J14" i="116" s="1"/>
  <c r="N14" i="116" s="1"/>
  <c r="G12" i="116"/>
  <c r="J12" i="116" s="1"/>
  <c r="N12" i="116" s="1"/>
  <c r="G11" i="116"/>
  <c r="F34" i="116"/>
  <c r="I34" i="116" s="1"/>
  <c r="F33" i="116"/>
  <c r="I33" i="116" s="1"/>
  <c r="F32" i="116"/>
  <c r="I32" i="116" s="1"/>
  <c r="F31" i="116"/>
  <c r="F30" i="116"/>
  <c r="I30" i="116" s="1"/>
  <c r="F29" i="116"/>
  <c r="I29" i="116" s="1"/>
  <c r="F28" i="116"/>
  <c r="I28" i="116" s="1"/>
  <c r="F27" i="116"/>
  <c r="F26" i="116"/>
  <c r="I26" i="116" s="1"/>
  <c r="F25" i="116"/>
  <c r="I25" i="116" s="1"/>
  <c r="F24" i="116"/>
  <c r="I24" i="116" s="1"/>
  <c r="F23" i="116"/>
  <c r="F22" i="116"/>
  <c r="I22" i="116" s="1"/>
  <c r="F21" i="116"/>
  <c r="I21" i="116" s="1"/>
  <c r="F20" i="116"/>
  <c r="I20" i="116" s="1"/>
  <c r="F19" i="116"/>
  <c r="F18" i="116"/>
  <c r="I18" i="116" s="1"/>
  <c r="F17" i="116"/>
  <c r="I17" i="116" s="1"/>
  <c r="F16" i="116"/>
  <c r="I16" i="116" s="1"/>
  <c r="F15" i="116"/>
  <c r="F14" i="116"/>
  <c r="I14" i="116" s="1"/>
  <c r="F13" i="116"/>
  <c r="I13" i="116" s="1"/>
  <c r="F12" i="116"/>
  <c r="F11" i="116"/>
  <c r="E190" i="132" l="1"/>
  <c r="E187" i="144"/>
  <c r="E56" i="132"/>
  <c r="E69" i="132"/>
  <c r="E189" i="132"/>
  <c r="E186" i="144"/>
  <c r="E188" i="144" s="1"/>
  <c r="E139" i="144" s="1"/>
  <c r="H42" i="120"/>
  <c r="H42" i="121"/>
  <c r="E11" i="46"/>
  <c r="E11" i="194"/>
  <c r="E27" i="194" s="1"/>
  <c r="E18" i="144" s="1"/>
  <c r="G17" i="22"/>
  <c r="G17" i="192"/>
  <c r="I17" i="192" s="1"/>
  <c r="I25" i="192" s="1"/>
  <c r="G29" i="2"/>
  <c r="G29" i="191"/>
  <c r="I29" i="191" s="1"/>
  <c r="I41" i="191" s="1"/>
  <c r="E23" i="45"/>
  <c r="E25" i="45" s="1"/>
  <c r="E19" i="46" s="1"/>
  <c r="I17" i="2"/>
  <c r="I17" i="191"/>
  <c r="E40" i="40"/>
  <c r="E51" i="184"/>
  <c r="F85" i="82"/>
  <c r="C75" i="82"/>
  <c r="I15" i="82"/>
  <c r="I16" i="82" s="1"/>
  <c r="I17" i="82" s="1"/>
  <c r="I18" i="82" s="1"/>
  <c r="I19" i="82" s="1"/>
  <c r="I20" i="82" s="1"/>
  <c r="I21" i="82" s="1"/>
  <c r="I22" i="82" s="1"/>
  <c r="I23" i="82" s="1"/>
  <c r="I24" i="82" s="1"/>
  <c r="I25" i="82" s="1"/>
  <c r="I26" i="82" s="1"/>
  <c r="I27" i="82" s="1"/>
  <c r="I28" i="82" s="1"/>
  <c r="I29" i="82" s="1"/>
  <c r="A15" i="82"/>
  <c r="A16" i="82" s="1"/>
  <c r="A17" i="82" s="1"/>
  <c r="A18" i="82" s="1"/>
  <c r="A19" i="82" s="1"/>
  <c r="A20" i="82" s="1"/>
  <c r="A21" i="82" s="1"/>
  <c r="A22" i="82" s="1"/>
  <c r="A23" i="82" s="1"/>
  <c r="A24" i="82" s="1"/>
  <c r="A25" i="82" s="1"/>
  <c r="A26" i="82" s="1"/>
  <c r="A27" i="82" s="1"/>
  <c r="A28" i="82" s="1"/>
  <c r="A29" i="82" s="1"/>
  <c r="F86" i="82"/>
  <c r="F89" i="82" s="1"/>
  <c r="F240" i="82" s="1"/>
  <c r="F49" i="82"/>
  <c r="F52" i="82" s="1"/>
  <c r="F151" i="82" s="1"/>
  <c r="F163" i="82" s="1"/>
  <c r="E11" i="144"/>
  <c r="E22" i="186"/>
  <c r="E16" i="187"/>
  <c r="E134" i="144" s="1"/>
  <c r="F48" i="82"/>
  <c r="J21" i="133"/>
  <c r="J22" i="133" s="1"/>
  <c r="J23" i="133" s="1"/>
  <c r="J24" i="133" s="1"/>
  <c r="J25" i="133" s="1"/>
  <c r="J26" i="133" s="1"/>
  <c r="J27" i="133" s="1"/>
  <c r="J28" i="133" s="1"/>
  <c r="J29" i="133" s="1"/>
  <c r="J30" i="133" s="1"/>
  <c r="J31" i="133" s="1"/>
  <c r="J32" i="133" s="1"/>
  <c r="J33" i="133" s="1"/>
  <c r="J34" i="133" s="1"/>
  <c r="J35" i="133" s="1"/>
  <c r="J36" i="133" s="1"/>
  <c r="J37" i="133" s="1"/>
  <c r="J38" i="133" s="1"/>
  <c r="J39" i="133" s="1"/>
  <c r="J40" i="133" s="1"/>
  <c r="J41" i="133" s="1"/>
  <c r="J42" i="133" s="1"/>
  <c r="J43" i="133" s="1"/>
  <c r="J44" i="133" s="1"/>
  <c r="A22" i="133"/>
  <c r="A23" i="133" s="1"/>
  <c r="H34" i="132"/>
  <c r="H35" i="132" s="1"/>
  <c r="A34" i="132"/>
  <c r="A35" i="132" s="1"/>
  <c r="A36" i="132" s="1"/>
  <c r="A69" i="132"/>
  <c r="A70" i="132" s="1"/>
  <c r="A71" i="132" s="1"/>
  <c r="A72" i="132" s="1"/>
  <c r="A73" i="132" s="1"/>
  <c r="A74" i="132" s="1"/>
  <c r="A75" i="132" s="1"/>
  <c r="A76" i="132" s="1"/>
  <c r="A77" i="132" s="1"/>
  <c r="A78" i="132" s="1"/>
  <c r="A79" i="132" s="1"/>
  <c r="A80" i="132" s="1"/>
  <c r="H14" i="40"/>
  <c r="H15" i="40" s="1"/>
  <c r="H16" i="40" s="1"/>
  <c r="H17" i="40" s="1"/>
  <c r="H18" i="40" s="1"/>
  <c r="H19" i="40" s="1"/>
  <c r="H20" i="40" s="1"/>
  <c r="H21" i="40" s="1"/>
  <c r="H22" i="40" s="1"/>
  <c r="H23" i="40" s="1"/>
  <c r="H24" i="40" s="1"/>
  <c r="H25" i="40" s="1"/>
  <c r="H26" i="40" s="1"/>
  <c r="H13" i="66"/>
  <c r="H14" i="66" s="1"/>
  <c r="H15" i="66" s="1"/>
  <c r="H16" i="66" s="1"/>
  <c r="H17" i="66" s="1"/>
  <c r="H18" i="66" s="1"/>
  <c r="H19" i="66" s="1"/>
  <c r="H20" i="66" s="1"/>
  <c r="H21" i="66" s="1"/>
  <c r="H22" i="66" s="1"/>
  <c r="A14" i="66"/>
  <c r="A15" i="66" s="1"/>
  <c r="A16" i="66" s="1"/>
  <c r="A17" i="66" s="1"/>
  <c r="A18" i="66" s="1"/>
  <c r="A19" i="66" s="1"/>
  <c r="A20" i="66" s="1"/>
  <c r="A21" i="66" s="1"/>
  <c r="A22" i="66" s="1"/>
  <c r="A13" i="66"/>
  <c r="E279" i="132"/>
  <c r="E13" i="133"/>
  <c r="B189" i="82"/>
  <c r="G17" i="86"/>
  <c r="G18" i="86" s="1"/>
  <c r="G19" i="86" s="1"/>
  <c r="G20" i="86" s="1"/>
  <c r="G21" i="86" s="1"/>
  <c r="G22" i="86" s="1"/>
  <c r="G23" i="86" s="1"/>
  <c r="G24" i="86" s="1"/>
  <c r="G25" i="86" s="1"/>
  <c r="G26" i="86" s="1"/>
  <c r="G27" i="86" s="1"/>
  <c r="G28" i="86" s="1"/>
  <c r="G29" i="86" s="1"/>
  <c r="G30" i="86" s="1"/>
  <c r="G31" i="86" s="1"/>
  <c r="G32" i="86" s="1"/>
  <c r="G33" i="86" s="1"/>
  <c r="G34" i="86" s="1"/>
  <c r="G35" i="86" s="1"/>
  <c r="G36" i="86" s="1"/>
  <c r="G37" i="86" s="1"/>
  <c r="G38" i="86" s="1"/>
  <c r="G39" i="86" s="1"/>
  <c r="G40" i="86" s="1"/>
  <c r="G41" i="86" s="1"/>
  <c r="G42" i="86" s="1"/>
  <c r="G43" i="86" s="1"/>
  <c r="G44" i="86" s="1"/>
  <c r="G45" i="86" s="1"/>
  <c r="G46" i="86" s="1"/>
  <c r="G47" i="86" s="1"/>
  <c r="I21" i="34"/>
  <c r="E126" i="132" s="1"/>
  <c r="E27" i="41"/>
  <c r="E43" i="41" s="1"/>
  <c r="E13" i="40" s="1"/>
  <c r="F24" i="41"/>
  <c r="F27" i="41" s="1"/>
  <c r="F43" i="41" s="1"/>
  <c r="I14" i="153"/>
  <c r="I15" i="153" s="1"/>
  <c r="I16" i="153" s="1"/>
  <c r="I17" i="153" s="1"/>
  <c r="I18" i="153" s="1"/>
  <c r="I19" i="153" s="1"/>
  <c r="I20" i="153" s="1"/>
  <c r="I21" i="153" s="1"/>
  <c r="I22" i="153" s="1"/>
  <c r="I23" i="153" s="1"/>
  <c r="I24" i="153" s="1"/>
  <c r="I25" i="153" s="1"/>
  <c r="I26" i="153" s="1"/>
  <c r="I27" i="153" s="1"/>
  <c r="I28" i="153" s="1"/>
  <c r="I29" i="153" s="1"/>
  <c r="I30" i="153" s="1"/>
  <c r="I31" i="153" s="1"/>
  <c r="I32" i="153" s="1"/>
  <c r="I33" i="153" s="1"/>
  <c r="I34" i="153" s="1"/>
  <c r="I35" i="153" s="1"/>
  <c r="A14" i="153"/>
  <c r="A15" i="153" s="1"/>
  <c r="A16" i="153" s="1"/>
  <c r="A17" i="153" s="1"/>
  <c r="A18" i="153" s="1"/>
  <c r="A19" i="153" s="1"/>
  <c r="A20" i="153" s="1"/>
  <c r="A21" i="153" s="1"/>
  <c r="A22" i="153" s="1"/>
  <c r="A23" i="153" s="1"/>
  <c r="A24" i="153" s="1"/>
  <c r="A25" i="153" s="1"/>
  <c r="A26" i="153" s="1"/>
  <c r="A27" i="153" s="1"/>
  <c r="A28" i="153" s="1"/>
  <c r="A29" i="153" s="1"/>
  <c r="A30" i="153" s="1"/>
  <c r="A31" i="153" s="1"/>
  <c r="A32" i="153" s="1"/>
  <c r="A33" i="153" s="1"/>
  <c r="A34" i="153" s="1"/>
  <c r="A35" i="153" s="1"/>
  <c r="A17" i="86"/>
  <c r="A18" i="86" s="1"/>
  <c r="A19" i="86" s="1"/>
  <c r="A20" i="86" s="1"/>
  <c r="A21" i="86" s="1"/>
  <c r="A22" i="86" s="1"/>
  <c r="A23" i="86" s="1"/>
  <c r="A24" i="86" s="1"/>
  <c r="A25" i="86" s="1"/>
  <c r="A26" i="86" s="1"/>
  <c r="A27" i="86" s="1"/>
  <c r="A28" i="86" s="1"/>
  <c r="A29" i="86" s="1"/>
  <c r="A30" i="86" s="1"/>
  <c r="A31" i="86" s="1"/>
  <c r="A32" i="86" s="1"/>
  <c r="A33" i="86" s="1"/>
  <c r="K21" i="10"/>
  <c r="K38" i="10" s="1"/>
  <c r="E168" i="132"/>
  <c r="E165" i="144"/>
  <c r="E120" i="132"/>
  <c r="E118" i="144"/>
  <c r="A133" i="144"/>
  <c r="A134" i="144" s="1"/>
  <c r="A135" i="144" s="1"/>
  <c r="A136" i="144" s="1"/>
  <c r="A137" i="144" s="1"/>
  <c r="A138" i="144" s="1"/>
  <c r="A139" i="144" s="1"/>
  <c r="A140" i="144" s="1"/>
  <c r="A141" i="144" s="1"/>
  <c r="A142" i="144" s="1"/>
  <c r="A143" i="144" s="1"/>
  <c r="A144" i="144" s="1"/>
  <c r="A145" i="144" s="1"/>
  <c r="A146" i="144" s="1"/>
  <c r="A147" i="144" s="1"/>
  <c r="A148" i="144" s="1"/>
  <c r="H133" i="144"/>
  <c r="H134" i="144" s="1"/>
  <c r="H135" i="144" s="1"/>
  <c r="H136" i="144" s="1"/>
  <c r="H137" i="144" s="1"/>
  <c r="H138" i="144" s="1"/>
  <c r="H139" i="144" s="1"/>
  <c r="H140" i="144" s="1"/>
  <c r="H141" i="144" s="1"/>
  <c r="H142" i="144" s="1"/>
  <c r="H143" i="144" s="1"/>
  <c r="H144" i="144" s="1"/>
  <c r="H145" i="144" s="1"/>
  <c r="H146" i="144" s="1"/>
  <c r="H147" i="144" s="1"/>
  <c r="H148" i="144" s="1"/>
  <c r="H16" i="144"/>
  <c r="H17" i="144" s="1"/>
  <c r="H18" i="144" s="1"/>
  <c r="A16" i="144"/>
  <c r="A17" i="144" s="1"/>
  <c r="A18" i="144" s="1"/>
  <c r="C24" i="142"/>
  <c r="G38" i="10"/>
  <c r="K14" i="151"/>
  <c r="K15" i="151" s="1"/>
  <c r="A14" i="151"/>
  <c r="A15" i="151" s="1"/>
  <c r="A14" i="152"/>
  <c r="A15" i="152" s="1"/>
  <c r="A16" i="152" s="1"/>
  <c r="I39" i="24"/>
  <c r="E35" i="119"/>
  <c r="A213" i="82"/>
  <c r="A214" i="82" s="1"/>
  <c r="A215" i="82" s="1"/>
  <c r="A216" i="82" s="1"/>
  <c r="A217" i="82" s="1"/>
  <c r="A218" i="82" s="1"/>
  <c r="A219" i="82" s="1"/>
  <c r="A220" i="82" s="1"/>
  <c r="A221" i="82" s="1"/>
  <c r="A222" i="82" s="1"/>
  <c r="A223" i="82" s="1"/>
  <c r="A224" i="82" s="1"/>
  <c r="A225" i="82" s="1"/>
  <c r="A226" i="82" s="1"/>
  <c r="A227" i="82" s="1"/>
  <c r="A228" i="82" s="1"/>
  <c r="A229" i="82" s="1"/>
  <c r="A230" i="82" s="1"/>
  <c r="A231" i="82" s="1"/>
  <c r="I213" i="82"/>
  <c r="I214" i="82" s="1"/>
  <c r="I215" i="82" s="1"/>
  <c r="I216" i="82" s="1"/>
  <c r="I217" i="82" s="1"/>
  <c r="I218" i="82" s="1"/>
  <c r="I219" i="82" s="1"/>
  <c r="I220" i="82" s="1"/>
  <c r="I221" i="82" s="1"/>
  <c r="I222" i="82" s="1"/>
  <c r="I223" i="82" s="1"/>
  <c r="I224" i="82" s="1"/>
  <c r="I225" i="82" s="1"/>
  <c r="I226" i="82" s="1"/>
  <c r="I227" i="82" s="1"/>
  <c r="I228" i="82" s="1"/>
  <c r="I229" i="82" s="1"/>
  <c r="I230" i="82" s="1"/>
  <c r="I231" i="82" s="1"/>
  <c r="I232" i="82" s="1"/>
  <c r="C27" i="142"/>
  <c r="I27" i="2"/>
  <c r="D22" i="14"/>
  <c r="C17" i="142"/>
  <c r="A26" i="41"/>
  <c r="A27" i="41" s="1"/>
  <c r="A28" i="41" s="1"/>
  <c r="A29" i="41" s="1"/>
  <c r="A30" i="41" s="1"/>
  <c r="A31" i="41" s="1"/>
  <c r="A32" i="41" s="1"/>
  <c r="A33" i="41" s="1"/>
  <c r="A34" i="41" s="1"/>
  <c r="A35" i="41" s="1"/>
  <c r="A36" i="41" s="1"/>
  <c r="A37" i="41" s="1"/>
  <c r="A38" i="41" s="1"/>
  <c r="A39" i="41" s="1"/>
  <c r="A40" i="41" s="1"/>
  <c r="A41" i="41" s="1"/>
  <c r="G43" i="41" s="1"/>
  <c r="I35" i="2"/>
  <c r="C20" i="142"/>
  <c r="I124" i="82"/>
  <c r="I125" i="82" s="1"/>
  <c r="I126" i="82" s="1"/>
  <c r="I127" i="82" s="1"/>
  <c r="I128" i="82" s="1"/>
  <c r="I129" i="82" s="1"/>
  <c r="I130" i="82" s="1"/>
  <c r="I131" i="82" s="1"/>
  <c r="I132" i="82" s="1"/>
  <c r="I133" i="82" s="1"/>
  <c r="A124" i="82"/>
  <c r="A125" i="82" s="1"/>
  <c r="A126" i="82" s="1"/>
  <c r="A127" i="82" s="1"/>
  <c r="A128" i="82" s="1"/>
  <c r="A129" i="82" s="1"/>
  <c r="A130" i="82" s="1"/>
  <c r="A131" i="82" s="1"/>
  <c r="A132" i="82" s="1"/>
  <c r="A133" i="82" s="1"/>
  <c r="E20" i="118"/>
  <c r="E223" i="132"/>
  <c r="E268" i="132"/>
  <c r="I25" i="2"/>
  <c r="F38" i="11"/>
  <c r="G24" i="121"/>
  <c r="J24" i="121" s="1"/>
  <c r="N24" i="121" s="1"/>
  <c r="A325" i="132"/>
  <c r="A326" i="132" s="1"/>
  <c r="A327" i="132" s="1"/>
  <c r="A328" i="132" s="1"/>
  <c r="A329" i="132" s="1"/>
  <c r="A330" i="132" s="1"/>
  <c r="A331" i="132" s="1"/>
  <c r="A332" i="132" s="1"/>
  <c r="A333" i="132" s="1"/>
  <c r="A334" i="132" s="1"/>
  <c r="A335" i="132" s="1"/>
  <c r="A336" i="132" s="1"/>
  <c r="A337" i="132" s="1"/>
  <c r="A338" i="132" s="1"/>
  <c r="A339" i="132" s="1"/>
  <c r="A340" i="132" s="1"/>
  <c r="I13" i="22"/>
  <c r="I23" i="34"/>
  <c r="E36" i="120"/>
  <c r="F24" i="120"/>
  <c r="E36" i="121"/>
  <c r="B100" i="82"/>
  <c r="E81" i="144"/>
  <c r="C24" i="118"/>
  <c r="E18" i="118"/>
  <c r="C22" i="142"/>
  <c r="C19" i="142"/>
  <c r="H11" i="75"/>
  <c r="H12" i="75" s="1"/>
  <c r="H13" i="75" s="1"/>
  <c r="H14" i="75" s="1"/>
  <c r="H15" i="75" s="1"/>
  <c r="H16" i="75" s="1"/>
  <c r="H17" i="75" s="1"/>
  <c r="H18" i="75" s="1"/>
  <c r="H19" i="75" s="1"/>
  <c r="I19" i="2"/>
  <c r="E38" i="11"/>
  <c r="I15" i="22"/>
  <c r="I19" i="34"/>
  <c r="I18" i="151"/>
  <c r="I35" i="151" s="1"/>
  <c r="D24" i="118"/>
  <c r="E224" i="132"/>
  <c r="E61" i="41"/>
  <c r="E22" i="118"/>
  <c r="G16" i="157"/>
  <c r="F17" i="157"/>
  <c r="E29" i="2"/>
  <c r="C23" i="142"/>
  <c r="E269" i="132"/>
  <c r="D22" i="27"/>
  <c r="F11" i="117"/>
  <c r="G11" i="117"/>
  <c r="D36" i="86"/>
  <c r="E222" i="132"/>
  <c r="E267" i="132"/>
  <c r="C25" i="142"/>
  <c r="C26" i="142"/>
  <c r="C21" i="142"/>
  <c r="G33" i="153"/>
  <c r="E16" i="75" s="1"/>
  <c r="G25" i="153"/>
  <c r="E82" i="132"/>
  <c r="I18" i="152"/>
  <c r="B104" i="144"/>
  <c r="E15" i="34"/>
  <c r="I15" i="34" s="1"/>
  <c r="E13" i="34"/>
  <c r="I13" i="34" s="1"/>
  <c r="E191" i="132"/>
  <c r="E17" i="22"/>
  <c r="H25" i="116"/>
  <c r="H33" i="116"/>
  <c r="H32" i="116"/>
  <c r="H29" i="116"/>
  <c r="H28" i="116"/>
  <c r="H24" i="116"/>
  <c r="H21" i="116"/>
  <c r="H20" i="116"/>
  <c r="H17" i="116"/>
  <c r="E35" i="116"/>
  <c r="H13" i="116"/>
  <c r="H22" i="116"/>
  <c r="H26" i="116"/>
  <c r="M18" i="116"/>
  <c r="O18" i="116" s="1"/>
  <c r="K18" i="116"/>
  <c r="M26" i="116"/>
  <c r="O26" i="116" s="1"/>
  <c r="K26" i="116"/>
  <c r="G33" i="117"/>
  <c r="J33" i="117" s="1"/>
  <c r="N33" i="117" s="1"/>
  <c r="G29" i="117"/>
  <c r="J29" i="117" s="1"/>
  <c r="N29" i="117" s="1"/>
  <c r="G25" i="117"/>
  <c r="J25" i="117" s="1"/>
  <c r="N25" i="117" s="1"/>
  <c r="G21" i="117"/>
  <c r="J21" i="117" s="1"/>
  <c r="N21" i="117" s="1"/>
  <c r="G17" i="117"/>
  <c r="J17" i="117" s="1"/>
  <c r="N17" i="117" s="1"/>
  <c r="G13" i="117"/>
  <c r="J13" i="117" s="1"/>
  <c r="N13" i="117" s="1"/>
  <c r="F33" i="117"/>
  <c r="F29" i="117"/>
  <c r="F25" i="117"/>
  <c r="F21" i="117"/>
  <c r="F17" i="117"/>
  <c r="F13" i="117"/>
  <c r="G32" i="117"/>
  <c r="J32" i="117" s="1"/>
  <c r="N32" i="117" s="1"/>
  <c r="G28" i="117"/>
  <c r="J28" i="117" s="1"/>
  <c r="N28" i="117" s="1"/>
  <c r="G24" i="117"/>
  <c r="J24" i="117" s="1"/>
  <c r="N24" i="117" s="1"/>
  <c r="G20" i="117"/>
  <c r="J20" i="117" s="1"/>
  <c r="N20" i="117" s="1"/>
  <c r="G16" i="117"/>
  <c r="J16" i="117" s="1"/>
  <c r="N16" i="117" s="1"/>
  <c r="G12" i="117"/>
  <c r="J12" i="117" s="1"/>
  <c r="N12" i="117" s="1"/>
  <c r="F32" i="117"/>
  <c r="F28" i="117"/>
  <c r="F24" i="117"/>
  <c r="F20" i="117"/>
  <c r="F16" i="117"/>
  <c r="F12" i="117"/>
  <c r="G31" i="117"/>
  <c r="J31" i="117" s="1"/>
  <c r="N31" i="117" s="1"/>
  <c r="G27" i="117"/>
  <c r="J27" i="117" s="1"/>
  <c r="N27" i="117" s="1"/>
  <c r="G23" i="117"/>
  <c r="J23" i="117" s="1"/>
  <c r="N23" i="117" s="1"/>
  <c r="G19" i="117"/>
  <c r="J19" i="117" s="1"/>
  <c r="N19" i="117" s="1"/>
  <c r="G15" i="117"/>
  <c r="J15" i="117" s="1"/>
  <c r="N15" i="117" s="1"/>
  <c r="F31" i="117"/>
  <c r="F27" i="117"/>
  <c r="F23" i="117"/>
  <c r="F19" i="117"/>
  <c r="F15" i="117"/>
  <c r="G22" i="117"/>
  <c r="J22" i="117" s="1"/>
  <c r="N22" i="117" s="1"/>
  <c r="F30" i="117"/>
  <c r="F14" i="117"/>
  <c r="G26" i="117"/>
  <c r="J26" i="117" s="1"/>
  <c r="N26" i="117" s="1"/>
  <c r="F18" i="117"/>
  <c r="G34" i="117"/>
  <c r="J34" i="117" s="1"/>
  <c r="N34" i="117" s="1"/>
  <c r="G18" i="117"/>
  <c r="J18" i="117" s="1"/>
  <c r="N18" i="117" s="1"/>
  <c r="F26" i="117"/>
  <c r="F34" i="117"/>
  <c r="G30" i="117"/>
  <c r="J30" i="117" s="1"/>
  <c r="N30" i="117" s="1"/>
  <c r="G14" i="117"/>
  <c r="J14" i="117" s="1"/>
  <c r="N14" i="117" s="1"/>
  <c r="F22" i="117"/>
  <c r="H14" i="116"/>
  <c r="H16" i="116"/>
  <c r="F35" i="116"/>
  <c r="I11" i="116"/>
  <c r="H11" i="116"/>
  <c r="H15" i="116"/>
  <c r="I15" i="116"/>
  <c r="H19" i="116"/>
  <c r="I19" i="116"/>
  <c r="H23" i="116"/>
  <c r="I23" i="116"/>
  <c r="H27" i="116"/>
  <c r="I27" i="116"/>
  <c r="H31" i="116"/>
  <c r="I31" i="116"/>
  <c r="G35" i="116"/>
  <c r="J11" i="116"/>
  <c r="M14" i="116"/>
  <c r="O14" i="116" s="1"/>
  <c r="K14" i="116"/>
  <c r="K30" i="116"/>
  <c r="M30" i="116"/>
  <c r="O30" i="116" s="1"/>
  <c r="I12" i="116"/>
  <c r="H12" i="116"/>
  <c r="M16" i="116"/>
  <c r="O16" i="116" s="1"/>
  <c r="K16" i="116"/>
  <c r="M20" i="116"/>
  <c r="O20" i="116" s="1"/>
  <c r="K20" i="116"/>
  <c r="M24" i="116"/>
  <c r="O24" i="116" s="1"/>
  <c r="K24" i="116"/>
  <c r="M28" i="116"/>
  <c r="O28" i="116" s="1"/>
  <c r="K28" i="116"/>
  <c r="M32" i="116"/>
  <c r="O32" i="116" s="1"/>
  <c r="K32" i="116"/>
  <c r="K22" i="116"/>
  <c r="M22" i="116"/>
  <c r="O22" i="116" s="1"/>
  <c r="M34" i="116"/>
  <c r="O34" i="116" s="1"/>
  <c r="K34" i="116"/>
  <c r="H34" i="116"/>
  <c r="H18" i="116"/>
  <c r="H30" i="116"/>
  <c r="M13" i="116"/>
  <c r="O13" i="116" s="1"/>
  <c r="K13" i="116"/>
  <c r="M17" i="116"/>
  <c r="O17" i="116" s="1"/>
  <c r="K17" i="116"/>
  <c r="M21" i="116"/>
  <c r="O21" i="116" s="1"/>
  <c r="K21" i="116"/>
  <c r="M25" i="116"/>
  <c r="O25" i="116" s="1"/>
  <c r="K25" i="116"/>
  <c r="M29" i="116"/>
  <c r="O29" i="116" s="1"/>
  <c r="K29" i="116"/>
  <c r="M33" i="116"/>
  <c r="O33" i="116" s="1"/>
  <c r="K33" i="116"/>
  <c r="E13" i="118"/>
  <c r="D15" i="118"/>
  <c r="E11" i="118"/>
  <c r="C15" i="118"/>
  <c r="C26" i="118" s="1"/>
  <c r="D36" i="82"/>
  <c r="E23" i="77"/>
  <c r="E25" i="40"/>
  <c r="E175" i="132"/>
  <c r="F125" i="82"/>
  <c r="G34" i="121"/>
  <c r="J34" i="121" s="1"/>
  <c r="N34" i="121" s="1"/>
  <c r="G32" i="121"/>
  <c r="J32" i="121" s="1"/>
  <c r="N32" i="121" s="1"/>
  <c r="G30" i="121"/>
  <c r="J30" i="121" s="1"/>
  <c r="N30" i="121" s="1"/>
  <c r="G28" i="121"/>
  <c r="J28" i="121" s="1"/>
  <c r="N28" i="121" s="1"/>
  <c r="G26" i="121"/>
  <c r="J26" i="121" s="1"/>
  <c r="N26" i="121" s="1"/>
  <c r="G20" i="121"/>
  <c r="J20" i="121" s="1"/>
  <c r="N20" i="121" s="1"/>
  <c r="G18" i="121"/>
  <c r="J18" i="121" s="1"/>
  <c r="N18" i="121" s="1"/>
  <c r="G16" i="121"/>
  <c r="J16" i="121" s="1"/>
  <c r="N16" i="121" s="1"/>
  <c r="G14" i="121"/>
  <c r="J14" i="121" s="1"/>
  <c r="N14" i="121" s="1"/>
  <c r="G12" i="121"/>
  <c r="G35" i="121"/>
  <c r="J35" i="121" s="1"/>
  <c r="N35" i="121" s="1"/>
  <c r="F33" i="121"/>
  <c r="F30" i="121"/>
  <c r="G27" i="121"/>
  <c r="J27" i="121" s="1"/>
  <c r="N27" i="121" s="1"/>
  <c r="F25" i="121"/>
  <c r="F22" i="121"/>
  <c r="G19" i="121"/>
  <c r="J19" i="121" s="1"/>
  <c r="N19" i="121" s="1"/>
  <c r="F17" i="121"/>
  <c r="F14" i="121"/>
  <c r="F35" i="121"/>
  <c r="F32" i="121"/>
  <c r="G29" i="121"/>
  <c r="J29" i="121" s="1"/>
  <c r="N29" i="121" s="1"/>
  <c r="F27" i="121"/>
  <c r="F24" i="121"/>
  <c r="G21" i="121"/>
  <c r="J21" i="121" s="1"/>
  <c r="N21" i="121" s="1"/>
  <c r="F19" i="121"/>
  <c r="F16" i="121"/>
  <c r="G13" i="121"/>
  <c r="J13" i="121" s="1"/>
  <c r="N13" i="121" s="1"/>
  <c r="F34" i="121"/>
  <c r="G31" i="121"/>
  <c r="J31" i="121" s="1"/>
  <c r="N31" i="121" s="1"/>
  <c r="F29" i="121"/>
  <c r="F26" i="121"/>
  <c r="G23" i="121"/>
  <c r="J23" i="121" s="1"/>
  <c r="N23" i="121" s="1"/>
  <c r="F21" i="121"/>
  <c r="F18" i="121"/>
  <c r="G15" i="121"/>
  <c r="J15" i="121" s="1"/>
  <c r="N15" i="121" s="1"/>
  <c r="F13" i="121"/>
  <c r="F28" i="121"/>
  <c r="G17" i="121"/>
  <c r="J17" i="121" s="1"/>
  <c r="N17" i="121" s="1"/>
  <c r="G33" i="121"/>
  <c r="J33" i="121" s="1"/>
  <c r="N33" i="121" s="1"/>
  <c r="F23" i="121"/>
  <c r="F12" i="121"/>
  <c r="F31" i="121"/>
  <c r="G25" i="121"/>
  <c r="J25" i="121" s="1"/>
  <c r="N25" i="121" s="1"/>
  <c r="F20" i="121"/>
  <c r="F15" i="121"/>
  <c r="F26" i="120"/>
  <c r="G35" i="120"/>
  <c r="J35" i="120" s="1"/>
  <c r="N35" i="120" s="1"/>
  <c r="G19" i="120"/>
  <c r="J19" i="120" s="1"/>
  <c r="N19" i="120" s="1"/>
  <c r="F27" i="120"/>
  <c r="G34" i="120"/>
  <c r="J34" i="120" s="1"/>
  <c r="N34" i="120" s="1"/>
  <c r="G28" i="120"/>
  <c r="J28" i="120" s="1"/>
  <c r="N28" i="120" s="1"/>
  <c r="G34" i="119"/>
  <c r="J34" i="119" s="1"/>
  <c r="N34" i="119" s="1"/>
  <c r="G32" i="119"/>
  <c r="J32" i="119" s="1"/>
  <c r="N32" i="119" s="1"/>
  <c r="G30" i="119"/>
  <c r="J30" i="119" s="1"/>
  <c r="N30" i="119" s="1"/>
  <c r="G28" i="119"/>
  <c r="J28" i="119" s="1"/>
  <c r="N28" i="119" s="1"/>
  <c r="G26" i="119"/>
  <c r="J26" i="119" s="1"/>
  <c r="N26" i="119" s="1"/>
  <c r="G24" i="119"/>
  <c r="J24" i="119" s="1"/>
  <c r="N24" i="119" s="1"/>
  <c r="G22" i="119"/>
  <c r="J22" i="119" s="1"/>
  <c r="N22" i="119" s="1"/>
  <c r="G20" i="119"/>
  <c r="J20" i="119" s="1"/>
  <c r="N20" i="119" s="1"/>
  <c r="F34" i="119"/>
  <c r="F32" i="119"/>
  <c r="F30" i="119"/>
  <c r="F28" i="119"/>
  <c r="F26" i="119"/>
  <c r="F24" i="119"/>
  <c r="F22" i="119"/>
  <c r="F20" i="119"/>
  <c r="F31" i="119"/>
  <c r="F27" i="119"/>
  <c r="F23" i="119"/>
  <c r="F19" i="119"/>
  <c r="F17" i="119"/>
  <c r="F15" i="119"/>
  <c r="F13" i="119"/>
  <c r="F11" i="119"/>
  <c r="F33" i="119"/>
  <c r="G27" i="119"/>
  <c r="J27" i="119" s="1"/>
  <c r="N27" i="119" s="1"/>
  <c r="G21" i="119"/>
  <c r="J21" i="119" s="1"/>
  <c r="N21" i="119" s="1"/>
  <c r="F18" i="119"/>
  <c r="G15" i="119"/>
  <c r="J15" i="119" s="1"/>
  <c r="N15" i="119" s="1"/>
  <c r="G12" i="119"/>
  <c r="J12" i="119" s="1"/>
  <c r="N12" i="119" s="1"/>
  <c r="G31" i="119"/>
  <c r="J31" i="119" s="1"/>
  <c r="N31" i="119" s="1"/>
  <c r="G25" i="119"/>
  <c r="J25" i="119" s="1"/>
  <c r="N25" i="119" s="1"/>
  <c r="F21" i="119"/>
  <c r="G17" i="119"/>
  <c r="J17" i="119" s="1"/>
  <c r="N17" i="119" s="1"/>
  <c r="G14" i="119"/>
  <c r="J14" i="119" s="1"/>
  <c r="N14" i="119" s="1"/>
  <c r="F12" i="119"/>
  <c r="G29" i="119"/>
  <c r="J29" i="119" s="1"/>
  <c r="N29" i="119" s="1"/>
  <c r="F25" i="119"/>
  <c r="G19" i="119"/>
  <c r="J19" i="119" s="1"/>
  <c r="N19" i="119" s="1"/>
  <c r="G16" i="119"/>
  <c r="J16" i="119" s="1"/>
  <c r="N16" i="119" s="1"/>
  <c r="F14" i="119"/>
  <c r="G11" i="119"/>
  <c r="G23" i="119"/>
  <c r="J23" i="119" s="1"/>
  <c r="N23" i="119" s="1"/>
  <c r="G18" i="119"/>
  <c r="J18" i="119" s="1"/>
  <c r="N18" i="119" s="1"/>
  <c r="G33" i="119"/>
  <c r="J33" i="119" s="1"/>
  <c r="N33" i="119" s="1"/>
  <c r="F16" i="119"/>
  <c r="F29" i="119"/>
  <c r="G13" i="119"/>
  <c r="J13" i="119" s="1"/>
  <c r="N13" i="119" s="1"/>
  <c r="I29" i="2" l="1"/>
  <c r="I17" i="22"/>
  <c r="F44" i="86"/>
  <c r="F40" i="86" s="1"/>
  <c r="F42" i="86" s="1"/>
  <c r="E44" i="86"/>
  <c r="E40" i="86" s="1"/>
  <c r="E42" i="86" s="1"/>
  <c r="E175" i="144"/>
  <c r="I27" i="192"/>
  <c r="E47" i="184"/>
  <c r="E168" i="144"/>
  <c r="I43" i="191"/>
  <c r="I31" i="191"/>
  <c r="E46" i="40"/>
  <c r="E57" i="184"/>
  <c r="E45" i="40"/>
  <c r="E56" i="184"/>
  <c r="G32" i="156"/>
  <c r="G33" i="156" s="1"/>
  <c r="G19" i="69"/>
  <c r="G21" i="69" s="1"/>
  <c r="E26" i="40"/>
  <c r="E27" i="40" s="1"/>
  <c r="E16" i="156"/>
  <c r="G16" i="156" s="1"/>
  <c r="E20" i="156"/>
  <c r="G20" i="156" s="1"/>
  <c r="E18" i="156"/>
  <c r="G18" i="156" s="1"/>
  <c r="I33" i="2"/>
  <c r="I37" i="2" s="1"/>
  <c r="E169" i="132" s="1"/>
  <c r="I19" i="22"/>
  <c r="I21" i="22" s="1"/>
  <c r="E20" i="66"/>
  <c r="E22" i="66" s="1"/>
  <c r="E24" i="132" s="1"/>
  <c r="E43" i="40"/>
  <c r="E54" i="184"/>
  <c r="E42" i="40"/>
  <c r="E53" i="184"/>
  <c r="C87" i="82"/>
  <c r="A37" i="132"/>
  <c r="A38" i="132" s="1"/>
  <c r="A39" i="132" s="1"/>
  <c r="A40" i="132" s="1"/>
  <c r="A41" i="132" s="1"/>
  <c r="H36" i="132"/>
  <c r="H37" i="132" s="1"/>
  <c r="H38" i="132" s="1"/>
  <c r="H39" i="132" s="1"/>
  <c r="H40" i="132" s="1"/>
  <c r="H41" i="132" s="1"/>
  <c r="F36" i="82"/>
  <c r="C50" i="82"/>
  <c r="F67" i="41"/>
  <c r="F68" i="41" s="1"/>
  <c r="E14" i="40" s="1"/>
  <c r="E15" i="40" s="1"/>
  <c r="E33" i="40"/>
  <c r="E39" i="40" s="1"/>
  <c r="E44" i="184"/>
  <c r="I30" i="82"/>
  <c r="I31" i="82" s="1"/>
  <c r="I32" i="82" s="1"/>
  <c r="I33" i="82" s="1"/>
  <c r="I34" i="82" s="1"/>
  <c r="I35" i="82" s="1"/>
  <c r="I36" i="82" s="1"/>
  <c r="I37" i="82" s="1"/>
  <c r="I38" i="82" s="1"/>
  <c r="I39" i="82" s="1"/>
  <c r="I40" i="82" s="1"/>
  <c r="I41" i="82" s="1"/>
  <c r="I42" i="82" s="1"/>
  <c r="I43" i="82" s="1"/>
  <c r="I44" i="82" s="1"/>
  <c r="I45" i="82" s="1"/>
  <c r="I46" i="82" s="1"/>
  <c r="A30" i="82"/>
  <c r="A31" i="82" s="1"/>
  <c r="A32" i="82" s="1"/>
  <c r="A33" i="82" s="1"/>
  <c r="A34" i="82" s="1"/>
  <c r="A35" i="82" s="1"/>
  <c r="A36" i="82" s="1"/>
  <c r="A37" i="82" s="1"/>
  <c r="A38" i="82" s="1"/>
  <c r="A39" i="82" s="1"/>
  <c r="A40" i="82" s="1"/>
  <c r="A41" i="82" s="1"/>
  <c r="A42" i="82" s="1"/>
  <c r="A43" i="82" s="1"/>
  <c r="A44" i="82" s="1"/>
  <c r="A45" i="82" s="1"/>
  <c r="A46" i="82" s="1"/>
  <c r="A47" i="82" s="1"/>
  <c r="A48" i="82" s="1"/>
  <c r="A81" i="132"/>
  <c r="A82" i="132" s="1"/>
  <c r="F73" i="82"/>
  <c r="F37" i="82"/>
  <c r="F40" i="82" s="1"/>
  <c r="F50" i="82"/>
  <c r="F179" i="82" s="1"/>
  <c r="F74" i="82"/>
  <c r="F77" i="82" s="1"/>
  <c r="F252" i="82"/>
  <c r="I233" i="82"/>
  <c r="I234" i="82" s="1"/>
  <c r="I235" i="82" s="1"/>
  <c r="I236" i="82" s="1"/>
  <c r="I237" i="82" s="1"/>
  <c r="I238" i="82" s="1"/>
  <c r="I239" i="82" s="1"/>
  <c r="I240" i="82" s="1"/>
  <c r="I241" i="82" s="1"/>
  <c r="I242" i="82" s="1"/>
  <c r="I243" i="82" s="1"/>
  <c r="I244" i="82" s="1"/>
  <c r="I245" i="82" s="1"/>
  <c r="I246" i="82" s="1"/>
  <c r="I247" i="82" s="1"/>
  <c r="I248" i="82" s="1"/>
  <c r="I249" i="82" s="1"/>
  <c r="I250" i="82" s="1"/>
  <c r="I251" i="82" s="1"/>
  <c r="I252" i="82" s="1"/>
  <c r="I253" i="82" s="1"/>
  <c r="I254" i="82" s="1"/>
  <c r="I255" i="82" s="1"/>
  <c r="I256" i="82" s="1"/>
  <c r="I257" i="82" s="1"/>
  <c r="I258" i="82" s="1"/>
  <c r="I259" i="82" s="1"/>
  <c r="I260" i="82" s="1"/>
  <c r="I261" i="82" s="1"/>
  <c r="I262" i="82" s="1"/>
  <c r="I263" i="82" s="1"/>
  <c r="I264" i="82" s="1"/>
  <c r="I265" i="82" s="1"/>
  <c r="I266" i="82" s="1"/>
  <c r="I267" i="82" s="1"/>
  <c r="I268" i="82" s="1"/>
  <c r="A232" i="82"/>
  <c r="A233" i="82" s="1"/>
  <c r="A234" i="82" s="1"/>
  <c r="A235" i="82" s="1"/>
  <c r="A236" i="82" s="1"/>
  <c r="A237" i="82" s="1"/>
  <c r="A238" i="82" s="1"/>
  <c r="A239" i="82" s="1"/>
  <c r="A240" i="82" s="1"/>
  <c r="A241" i="82" s="1"/>
  <c r="A242" i="82" s="1"/>
  <c r="A243" i="82" s="1"/>
  <c r="A244" i="82" s="1"/>
  <c r="A245" i="82" s="1"/>
  <c r="A246" i="82" s="1"/>
  <c r="A247" i="82" s="1"/>
  <c r="A248" i="82" s="1"/>
  <c r="A249" i="82" s="1"/>
  <c r="A250" i="82" s="1"/>
  <c r="A251" i="82" s="1"/>
  <c r="A252" i="82" s="1"/>
  <c r="A253" i="82" s="1"/>
  <c r="A254" i="82" s="1"/>
  <c r="A255" i="82" s="1"/>
  <c r="A256" i="82" s="1"/>
  <c r="A257" i="82" s="1"/>
  <c r="A258" i="82" s="1"/>
  <c r="A259" i="82" s="1"/>
  <c r="A260" i="82" s="1"/>
  <c r="A261" i="82" s="1"/>
  <c r="A262" i="82" s="1"/>
  <c r="A263" i="82" s="1"/>
  <c r="A264" i="82" s="1"/>
  <c r="A265" i="82" s="1"/>
  <c r="A266" i="82" s="1"/>
  <c r="A267" i="82" s="1"/>
  <c r="A268" i="82" s="1"/>
  <c r="A269" i="82" s="1"/>
  <c r="A270" i="82" s="1"/>
  <c r="A271" i="82" s="1"/>
  <c r="A272" i="82" s="1"/>
  <c r="F87" i="82"/>
  <c r="F268" i="82" s="1"/>
  <c r="H27" i="40"/>
  <c r="H28" i="40" s="1"/>
  <c r="E124" i="144"/>
  <c r="E120" i="144"/>
  <c r="A24" i="133"/>
  <c r="A25" i="133" s="1"/>
  <c r="A26" i="133" s="1"/>
  <c r="A27" i="133" s="1"/>
  <c r="A28" i="133" s="1"/>
  <c r="A29" i="133" s="1"/>
  <c r="A30" i="133" s="1"/>
  <c r="A31" i="133" s="1"/>
  <c r="A32" i="133" s="1"/>
  <c r="A33" i="133" s="1"/>
  <c r="A34" i="133" s="1"/>
  <c r="A35" i="133" s="1"/>
  <c r="A36" i="133" s="1"/>
  <c r="A37" i="133" s="1"/>
  <c r="A38" i="133" s="1"/>
  <c r="A39" i="133" s="1"/>
  <c r="A40" i="133" s="1"/>
  <c r="A41" i="133" s="1"/>
  <c r="A42" i="133" s="1"/>
  <c r="A43" i="133" s="1"/>
  <c r="A44" i="133" s="1"/>
  <c r="E122" i="132"/>
  <c r="E142" i="132"/>
  <c r="A134" i="82"/>
  <c r="A135" i="82" s="1"/>
  <c r="A136" i="82" s="1"/>
  <c r="A137" i="82" s="1"/>
  <c r="A138" i="82" s="1"/>
  <c r="I134" i="82"/>
  <c r="I135" i="82" s="1"/>
  <c r="I136" i="82" s="1"/>
  <c r="I137" i="82" s="1"/>
  <c r="I138" i="82" s="1"/>
  <c r="H72" i="132"/>
  <c r="H73" i="132" s="1"/>
  <c r="H74" i="132" s="1"/>
  <c r="H75" i="132" s="1"/>
  <c r="H76" i="132" s="1"/>
  <c r="H77" i="132" s="1"/>
  <c r="H78" i="132" s="1"/>
  <c r="H79" i="132" s="1"/>
  <c r="H80" i="132" s="1"/>
  <c r="H81" i="132" s="1"/>
  <c r="A17" i="40"/>
  <c r="A18" i="40" s="1"/>
  <c r="A19" i="40" s="1"/>
  <c r="G18" i="120"/>
  <c r="J18" i="120" s="1"/>
  <c r="N18" i="120" s="1"/>
  <c r="F13" i="120"/>
  <c r="F29" i="120"/>
  <c r="G21" i="120"/>
  <c r="J21" i="120" s="1"/>
  <c r="N21" i="120" s="1"/>
  <c r="F12" i="120"/>
  <c r="F28" i="120"/>
  <c r="H28" i="120" s="1"/>
  <c r="G32" i="120"/>
  <c r="J32" i="120" s="1"/>
  <c r="N32" i="120" s="1"/>
  <c r="F15" i="120"/>
  <c r="I15" i="120" s="1"/>
  <c r="F31" i="120"/>
  <c r="I31" i="120" s="1"/>
  <c r="G23" i="120"/>
  <c r="J23" i="120" s="1"/>
  <c r="N23" i="120" s="1"/>
  <c r="F14" i="120"/>
  <c r="F30" i="120"/>
  <c r="G20" i="120"/>
  <c r="J20" i="120" s="1"/>
  <c r="N20" i="120" s="1"/>
  <c r="F17" i="120"/>
  <c r="I17" i="120" s="1"/>
  <c r="F33" i="120"/>
  <c r="I33" i="120" s="1"/>
  <c r="G25" i="120"/>
  <c r="J25" i="120" s="1"/>
  <c r="N25" i="120" s="1"/>
  <c r="F16" i="120"/>
  <c r="I16" i="120" s="1"/>
  <c r="F32" i="120"/>
  <c r="I32" i="120" s="1"/>
  <c r="G14" i="120"/>
  <c r="J14" i="120" s="1"/>
  <c r="N14" i="120" s="1"/>
  <c r="F19" i="120"/>
  <c r="F35" i="120"/>
  <c r="G27" i="120"/>
  <c r="J27" i="120" s="1"/>
  <c r="N27" i="120" s="1"/>
  <c r="F18" i="120"/>
  <c r="I18" i="120" s="1"/>
  <c r="F34" i="120"/>
  <c r="H34" i="120" s="1"/>
  <c r="G12" i="120"/>
  <c r="J12" i="120" s="1"/>
  <c r="G22" i="120"/>
  <c r="J22" i="120" s="1"/>
  <c r="N22" i="120" s="1"/>
  <c r="F21" i="120"/>
  <c r="G13" i="120"/>
  <c r="J13" i="120" s="1"/>
  <c r="N13" i="120" s="1"/>
  <c r="G29" i="120"/>
  <c r="J29" i="120" s="1"/>
  <c r="N29" i="120" s="1"/>
  <c r="F20" i="120"/>
  <c r="I20" i="120" s="1"/>
  <c r="G24" i="120"/>
  <c r="J24" i="120" s="1"/>
  <c r="N24" i="120" s="1"/>
  <c r="G30" i="120"/>
  <c r="J30" i="120" s="1"/>
  <c r="N30" i="120" s="1"/>
  <c r="F23" i="120"/>
  <c r="I23" i="120" s="1"/>
  <c r="G15" i="120"/>
  <c r="J15" i="120" s="1"/>
  <c r="N15" i="120" s="1"/>
  <c r="G31" i="120"/>
  <c r="J31" i="120" s="1"/>
  <c r="N31" i="120" s="1"/>
  <c r="F22" i="120"/>
  <c r="G16" i="120"/>
  <c r="J16" i="120" s="1"/>
  <c r="N16" i="120" s="1"/>
  <c r="G26" i="120"/>
  <c r="J26" i="120" s="1"/>
  <c r="N26" i="120" s="1"/>
  <c r="F25" i="120"/>
  <c r="I25" i="120" s="1"/>
  <c r="G17" i="120"/>
  <c r="J17" i="120" s="1"/>
  <c r="N17" i="120" s="1"/>
  <c r="G33" i="120"/>
  <c r="J33" i="120" s="1"/>
  <c r="N33" i="120" s="1"/>
  <c r="E148" i="132"/>
  <c r="E145" i="144"/>
  <c r="E143" i="132"/>
  <c r="E140" i="144"/>
  <c r="G22" i="121"/>
  <c r="J22" i="121" s="1"/>
  <c r="N22" i="121" s="1"/>
  <c r="E36" i="132"/>
  <c r="E36" i="144"/>
  <c r="A34" i="86"/>
  <c r="A35" i="86" s="1"/>
  <c r="A36" i="86" s="1"/>
  <c r="A37" i="86" s="1"/>
  <c r="A38" i="86" s="1"/>
  <c r="A39" i="86" s="1"/>
  <c r="A40" i="86" s="1"/>
  <c r="A41" i="86" s="1"/>
  <c r="A42" i="86" s="1"/>
  <c r="A43" i="86" s="1"/>
  <c r="A44" i="86" s="1"/>
  <c r="A45" i="86" s="1"/>
  <c r="A46" i="86" s="1"/>
  <c r="A47" i="86" s="1"/>
  <c r="A19" i="144"/>
  <c r="A20" i="144" s="1"/>
  <c r="A21" i="144" s="1"/>
  <c r="A22" i="144" s="1"/>
  <c r="A23" i="144" s="1"/>
  <c r="A24" i="144" s="1"/>
  <c r="H19" i="144"/>
  <c r="H20" i="144" s="1"/>
  <c r="H21" i="144" s="1"/>
  <c r="H22" i="144" s="1"/>
  <c r="H23" i="144" s="1"/>
  <c r="H24" i="144" s="1"/>
  <c r="A16" i="151"/>
  <c r="A17" i="151" s="1"/>
  <c r="A18" i="151" s="1"/>
  <c r="A19" i="151" s="1"/>
  <c r="A20" i="151" s="1"/>
  <c r="A21" i="151" s="1"/>
  <c r="A22" i="151" s="1"/>
  <c r="A23" i="151" s="1"/>
  <c r="A24" i="151" s="1"/>
  <c r="A25" i="151" s="1"/>
  <c r="A26" i="151" s="1"/>
  <c r="A27" i="151" s="1"/>
  <c r="A28" i="151" s="1"/>
  <c r="A29" i="151" s="1"/>
  <c r="A30" i="151" s="1"/>
  <c r="A31" i="151" s="1"/>
  <c r="A32" i="151" s="1"/>
  <c r="A33" i="151" s="1"/>
  <c r="A34" i="151" s="1"/>
  <c r="A35" i="151" s="1"/>
  <c r="K16" i="151"/>
  <c r="K17" i="151" s="1"/>
  <c r="K18" i="151" s="1"/>
  <c r="K19" i="151" s="1"/>
  <c r="K20" i="151" s="1"/>
  <c r="K21" i="151" s="1"/>
  <c r="K22" i="151" s="1"/>
  <c r="K23" i="151" s="1"/>
  <c r="K24" i="151" s="1"/>
  <c r="K25" i="151" s="1"/>
  <c r="K26" i="151" s="1"/>
  <c r="K27" i="151" s="1"/>
  <c r="K28" i="151" s="1"/>
  <c r="K29" i="151" s="1"/>
  <c r="K30" i="151" s="1"/>
  <c r="K31" i="151" s="1"/>
  <c r="K32" i="151" s="1"/>
  <c r="K33" i="151" s="1"/>
  <c r="K34" i="151" s="1"/>
  <c r="K35" i="151" s="1"/>
  <c r="A17" i="152"/>
  <c r="A18" i="152" s="1"/>
  <c r="A19" i="152" s="1"/>
  <c r="A20" i="152" s="1"/>
  <c r="A21" i="152" s="1"/>
  <c r="A22" i="152" s="1"/>
  <c r="A23" i="152" s="1"/>
  <c r="A24" i="152" s="1"/>
  <c r="A25" i="152" s="1"/>
  <c r="A26" i="152" s="1"/>
  <c r="A27" i="152" s="1"/>
  <c r="A28" i="152" s="1"/>
  <c r="A29" i="152" s="1"/>
  <c r="A30" i="152" s="1"/>
  <c r="A31" i="152" s="1"/>
  <c r="A32" i="152" s="1"/>
  <c r="A33" i="152" s="1"/>
  <c r="A34" i="152" s="1"/>
  <c r="A35" i="152" s="1"/>
  <c r="L18" i="152"/>
  <c r="L19" i="152" s="1"/>
  <c r="L20" i="152" s="1"/>
  <c r="L21" i="152" s="1"/>
  <c r="L22" i="152" s="1"/>
  <c r="L23" i="152" s="1"/>
  <c r="L24" i="152" s="1"/>
  <c r="L25" i="152" s="1"/>
  <c r="L26" i="152" s="1"/>
  <c r="L27" i="152" s="1"/>
  <c r="L28" i="152" s="1"/>
  <c r="L29" i="152" s="1"/>
  <c r="L30" i="152" s="1"/>
  <c r="L31" i="152" s="1"/>
  <c r="L32" i="152" s="1"/>
  <c r="L33" i="152" s="1"/>
  <c r="L34" i="152" s="1"/>
  <c r="L35" i="152" s="1"/>
  <c r="D26" i="118"/>
  <c r="E24" i="118"/>
  <c r="E15" i="75"/>
  <c r="E17" i="75" s="1"/>
  <c r="G35" i="153"/>
  <c r="D42" i="86"/>
  <c r="I35" i="152"/>
  <c r="G11" i="34"/>
  <c r="G17" i="34" s="1"/>
  <c r="E11" i="34"/>
  <c r="G41" i="41"/>
  <c r="I31" i="2"/>
  <c r="G17" i="157"/>
  <c r="F18" i="157"/>
  <c r="H28" i="133"/>
  <c r="H41" i="133" s="1"/>
  <c r="E21" i="46"/>
  <c r="E25" i="46"/>
  <c r="E23" i="46"/>
  <c r="E179" i="144"/>
  <c r="E182" i="132"/>
  <c r="I35" i="116"/>
  <c r="I45" i="116" s="1"/>
  <c r="M11" i="116"/>
  <c r="K11" i="116"/>
  <c r="I26" i="117"/>
  <c r="H26" i="117"/>
  <c r="H12" i="117"/>
  <c r="I12" i="117"/>
  <c r="H28" i="117"/>
  <c r="I28" i="117"/>
  <c r="H13" i="117"/>
  <c r="I13" i="117"/>
  <c r="I29" i="117"/>
  <c r="H29" i="117"/>
  <c r="M31" i="116"/>
  <c r="O31" i="116" s="1"/>
  <c r="K31" i="116"/>
  <c r="M23" i="116"/>
  <c r="O23" i="116" s="1"/>
  <c r="K23" i="116"/>
  <c r="M15" i="116"/>
  <c r="O15" i="116" s="1"/>
  <c r="K15" i="116"/>
  <c r="H14" i="117"/>
  <c r="I14" i="117"/>
  <c r="I15" i="117"/>
  <c r="H15" i="117"/>
  <c r="I31" i="117"/>
  <c r="H31" i="117"/>
  <c r="H16" i="117"/>
  <c r="I16" i="117"/>
  <c r="H32" i="117"/>
  <c r="I32" i="117"/>
  <c r="H17" i="117"/>
  <c r="I17" i="117"/>
  <c r="I33" i="117"/>
  <c r="H33" i="117"/>
  <c r="I11" i="117"/>
  <c r="F35" i="117"/>
  <c r="H11" i="117"/>
  <c r="I27" i="117"/>
  <c r="H27" i="117"/>
  <c r="M12" i="116"/>
  <c r="O12" i="116" s="1"/>
  <c r="K12" i="116"/>
  <c r="I30" i="117"/>
  <c r="H30" i="117"/>
  <c r="I19" i="117"/>
  <c r="H19" i="117"/>
  <c r="G35" i="117"/>
  <c r="J11" i="117"/>
  <c r="H20" i="117"/>
  <c r="I20" i="117"/>
  <c r="H21" i="117"/>
  <c r="I21" i="117"/>
  <c r="H22" i="117"/>
  <c r="I22" i="117"/>
  <c r="J35" i="116"/>
  <c r="J45" i="116" s="1"/>
  <c r="N11" i="116"/>
  <c r="N35" i="116" s="1"/>
  <c r="M27" i="116"/>
  <c r="O27" i="116" s="1"/>
  <c r="K27" i="116"/>
  <c r="M19" i="116"/>
  <c r="O19" i="116" s="1"/>
  <c r="K19" i="116"/>
  <c r="H35" i="116"/>
  <c r="I34" i="117"/>
  <c r="H34" i="117"/>
  <c r="H18" i="117"/>
  <c r="I18" i="117"/>
  <c r="I23" i="117"/>
  <c r="H23" i="117"/>
  <c r="H24" i="117"/>
  <c r="I24" i="117"/>
  <c r="H25" i="117"/>
  <c r="I25" i="117"/>
  <c r="E15" i="118"/>
  <c r="E26" i="118" s="1"/>
  <c r="I23" i="119"/>
  <c r="H23" i="119"/>
  <c r="I29" i="120"/>
  <c r="H29" i="120"/>
  <c r="I12" i="120"/>
  <c r="I20" i="121"/>
  <c r="H20" i="121"/>
  <c r="I34" i="121"/>
  <c r="H34" i="121"/>
  <c r="I32" i="121"/>
  <c r="H32" i="121"/>
  <c r="I30" i="121"/>
  <c r="H30" i="121"/>
  <c r="A42" i="41"/>
  <c r="A43" i="41" s="1"/>
  <c r="A44" i="41" s="1"/>
  <c r="A45" i="41" s="1"/>
  <c r="A46" i="41" s="1"/>
  <c r="A47" i="41" s="1"/>
  <c r="A48" i="41" s="1"/>
  <c r="A49" i="41" s="1"/>
  <c r="A50" i="41" s="1"/>
  <c r="A51" i="41" s="1"/>
  <c r="A52" i="41" s="1"/>
  <c r="A53" i="41" s="1"/>
  <c r="A54" i="41" s="1"/>
  <c r="A55" i="41" s="1"/>
  <c r="A56" i="41" s="1"/>
  <c r="A57" i="41" s="1"/>
  <c r="A58" i="41" s="1"/>
  <c r="I29" i="119"/>
  <c r="H29" i="119"/>
  <c r="I30" i="119"/>
  <c r="H30" i="119"/>
  <c r="I21" i="120"/>
  <c r="H21" i="120"/>
  <c r="I13" i="121"/>
  <c r="H13" i="121"/>
  <c r="I16" i="119"/>
  <c r="H16" i="119"/>
  <c r="J11" i="119"/>
  <c r="G35" i="119"/>
  <c r="I25" i="119"/>
  <c r="H25" i="119"/>
  <c r="I15" i="119"/>
  <c r="H15" i="119"/>
  <c r="I27" i="119"/>
  <c r="H27" i="119"/>
  <c r="I24" i="119"/>
  <c r="H24" i="119"/>
  <c r="I32" i="119"/>
  <c r="H32" i="119"/>
  <c r="I14" i="120"/>
  <c r="H14" i="120"/>
  <c r="I22" i="120"/>
  <c r="I30" i="120"/>
  <c r="I26" i="121"/>
  <c r="H26" i="121"/>
  <c r="I24" i="121"/>
  <c r="H24" i="121"/>
  <c r="I35" i="121"/>
  <c r="H35" i="121"/>
  <c r="I22" i="121"/>
  <c r="I33" i="121"/>
  <c r="H33" i="121"/>
  <c r="I13" i="119"/>
  <c r="H13" i="119"/>
  <c r="I22" i="119"/>
  <c r="H22" i="119"/>
  <c r="I23" i="121"/>
  <c r="H23" i="121"/>
  <c r="I14" i="119"/>
  <c r="H14" i="119"/>
  <c r="I21" i="119"/>
  <c r="H21" i="119"/>
  <c r="I33" i="119"/>
  <c r="H33" i="119"/>
  <c r="I17" i="119"/>
  <c r="H17" i="119"/>
  <c r="I31" i="119"/>
  <c r="H31" i="119"/>
  <c r="I26" i="119"/>
  <c r="H26" i="119"/>
  <c r="I34" i="119"/>
  <c r="H34" i="119"/>
  <c r="I24" i="120"/>
  <c r="I31" i="121"/>
  <c r="H31" i="121"/>
  <c r="I18" i="121"/>
  <c r="H18" i="121"/>
  <c r="I29" i="121"/>
  <c r="H29" i="121"/>
  <c r="I16" i="121"/>
  <c r="H16" i="121"/>
  <c r="I27" i="121"/>
  <c r="H27" i="121"/>
  <c r="I14" i="121"/>
  <c r="H14" i="121"/>
  <c r="I25" i="121"/>
  <c r="H25" i="121"/>
  <c r="I12" i="119"/>
  <c r="H12" i="119"/>
  <c r="I18" i="119"/>
  <c r="H18" i="119"/>
  <c r="I11" i="119"/>
  <c r="F35" i="119"/>
  <c r="H11" i="119"/>
  <c r="I19" i="119"/>
  <c r="H19" i="119"/>
  <c r="I20" i="119"/>
  <c r="H20" i="119"/>
  <c r="I28" i="119"/>
  <c r="H28" i="119"/>
  <c r="I19" i="120"/>
  <c r="H19" i="120"/>
  <c r="I27" i="120"/>
  <c r="I35" i="120"/>
  <c r="H35" i="120"/>
  <c r="I26" i="120"/>
  <c r="I15" i="121"/>
  <c r="H15" i="121"/>
  <c r="I12" i="121"/>
  <c r="H12" i="121"/>
  <c r="F36" i="121"/>
  <c r="I28" i="121"/>
  <c r="H28" i="121"/>
  <c r="I21" i="121"/>
  <c r="H21" i="121"/>
  <c r="I19" i="121"/>
  <c r="H19" i="121"/>
  <c r="I17" i="121"/>
  <c r="H17" i="121"/>
  <c r="J12" i="121"/>
  <c r="E24" i="69" l="1"/>
  <c r="E11" i="200"/>
  <c r="H13" i="120"/>
  <c r="I45" i="191"/>
  <c r="G13" i="186" s="1"/>
  <c r="E47" i="40"/>
  <c r="H22" i="120"/>
  <c r="I13" i="120"/>
  <c r="H23" i="120"/>
  <c r="H27" i="120"/>
  <c r="H16" i="120"/>
  <c r="H20" i="120"/>
  <c r="H26" i="120"/>
  <c r="I28" i="120"/>
  <c r="G36" i="121"/>
  <c r="H22" i="121"/>
  <c r="I41" i="2"/>
  <c r="E36" i="40" s="1"/>
  <c r="I39" i="2"/>
  <c r="E35" i="40" s="1"/>
  <c r="I23" i="22"/>
  <c r="E177" i="132" s="1"/>
  <c r="E176" i="132"/>
  <c r="E183" i="132" s="1"/>
  <c r="I25" i="22"/>
  <c r="E178" i="132" s="1"/>
  <c r="I47" i="82"/>
  <c r="I48" i="82" s="1"/>
  <c r="I49" i="82" s="1"/>
  <c r="I50" i="82" s="1"/>
  <c r="I51" i="82" s="1"/>
  <c r="I52" i="82" s="1"/>
  <c r="A49" i="82"/>
  <c r="A50" i="82" s="1"/>
  <c r="A51" i="82" s="1"/>
  <c r="A52" i="82" s="1"/>
  <c r="E11" i="132"/>
  <c r="E50" i="184"/>
  <c r="E58" i="184" s="1"/>
  <c r="E48" i="184"/>
  <c r="F200" i="82"/>
  <c r="F212" i="82" s="1"/>
  <c r="H29" i="40"/>
  <c r="H30" i="40" s="1"/>
  <c r="H31" i="40" s="1"/>
  <c r="H32" i="40" s="1"/>
  <c r="H33" i="40" s="1"/>
  <c r="H34" i="40" s="1"/>
  <c r="H35" i="40" s="1"/>
  <c r="H36" i="40" s="1"/>
  <c r="H37" i="40" s="1"/>
  <c r="H38" i="40" s="1"/>
  <c r="H39" i="40" s="1"/>
  <c r="H40" i="40" s="1"/>
  <c r="H41" i="40" s="1"/>
  <c r="H42" i="40" s="1"/>
  <c r="H43" i="40" s="1"/>
  <c r="H44" i="40" s="1"/>
  <c r="H45" i="40" s="1"/>
  <c r="H46" i="40" s="1"/>
  <c r="H47" i="40" s="1"/>
  <c r="H48" i="40" s="1"/>
  <c r="H49" i="40" s="1"/>
  <c r="H18" i="120"/>
  <c r="H31" i="120"/>
  <c r="H12" i="120"/>
  <c r="I34" i="120"/>
  <c r="I269" i="82"/>
  <c r="I270" i="82" s="1"/>
  <c r="I271" i="82" s="1"/>
  <c r="I272" i="82" s="1"/>
  <c r="I69" i="82"/>
  <c r="I70" i="82" s="1"/>
  <c r="I71" i="82" s="1"/>
  <c r="I72" i="82" s="1"/>
  <c r="I73" i="82" s="1"/>
  <c r="I74" i="82" s="1"/>
  <c r="I75" i="82" s="1"/>
  <c r="I76" i="82" s="1"/>
  <c r="I77" i="82" s="1"/>
  <c r="I78" i="82" s="1"/>
  <c r="I79" i="82" s="1"/>
  <c r="I80" i="82" s="1"/>
  <c r="I81" i="82" s="1"/>
  <c r="I82" i="82" s="1"/>
  <c r="I83" i="82" s="1"/>
  <c r="I84" i="82" s="1"/>
  <c r="I85" i="82" s="1"/>
  <c r="I86" i="82" s="1"/>
  <c r="I87" i="82" s="1"/>
  <c r="I88" i="82" s="1"/>
  <c r="I89" i="82" s="1"/>
  <c r="A69" i="82"/>
  <c r="A70" i="82" s="1"/>
  <c r="A71" i="82" s="1"/>
  <c r="A72" i="82" s="1"/>
  <c r="A73" i="82" s="1"/>
  <c r="A74" i="82" s="1"/>
  <c r="A75" i="82" s="1"/>
  <c r="A76" i="82" s="1"/>
  <c r="A77" i="82" s="1"/>
  <c r="A78" i="82" s="1"/>
  <c r="A79" i="82" s="1"/>
  <c r="A80" i="82" s="1"/>
  <c r="A81" i="82" s="1"/>
  <c r="A82" i="82" s="1"/>
  <c r="A83" i="82" s="1"/>
  <c r="A84" i="82" s="1"/>
  <c r="A85" i="82" s="1"/>
  <c r="A86" i="82" s="1"/>
  <c r="A87" i="82" s="1"/>
  <c r="A88" i="82" s="1"/>
  <c r="A89" i="82" s="1"/>
  <c r="I139" i="82"/>
  <c r="I140" i="82" s="1"/>
  <c r="I141" i="82" s="1"/>
  <c r="I142" i="82" s="1"/>
  <c r="I143" i="82" s="1"/>
  <c r="I144" i="82" s="1"/>
  <c r="I145" i="82" s="1"/>
  <c r="I146" i="82" s="1"/>
  <c r="I147" i="82" s="1"/>
  <c r="I148" i="82" s="1"/>
  <c r="I149" i="82" s="1"/>
  <c r="I150" i="82" s="1"/>
  <c r="I151" i="82" s="1"/>
  <c r="I152" i="82" s="1"/>
  <c r="I153" i="82" s="1"/>
  <c r="I154" i="82" s="1"/>
  <c r="I155" i="82" s="1"/>
  <c r="I156" i="82" s="1"/>
  <c r="I157" i="82" s="1"/>
  <c r="I158" i="82" s="1"/>
  <c r="I159" i="82" s="1"/>
  <c r="I160" i="82" s="1"/>
  <c r="I161" i="82" s="1"/>
  <c r="I162" i="82" s="1"/>
  <c r="I163" i="82" s="1"/>
  <c r="I164" i="82" s="1"/>
  <c r="I165" i="82" s="1"/>
  <c r="I166" i="82" s="1"/>
  <c r="I167" i="82" s="1"/>
  <c r="I168" i="82" s="1"/>
  <c r="I169" i="82" s="1"/>
  <c r="I170" i="82" s="1"/>
  <c r="I171" i="82" s="1"/>
  <c r="I172" i="82" s="1"/>
  <c r="I173" i="82" s="1"/>
  <c r="I174" i="82" s="1"/>
  <c r="I175" i="82" s="1"/>
  <c r="I176" i="82" s="1"/>
  <c r="I177" i="82" s="1"/>
  <c r="I178" i="82" s="1"/>
  <c r="I179" i="82" s="1"/>
  <c r="A139" i="82"/>
  <c r="A140" i="82" s="1"/>
  <c r="A141" i="82" s="1"/>
  <c r="A142" i="82" s="1"/>
  <c r="A143" i="82" s="1"/>
  <c r="A144" i="82" s="1"/>
  <c r="A145" i="82" s="1"/>
  <c r="A146" i="82" s="1"/>
  <c r="A147" i="82" s="1"/>
  <c r="A148" i="82" s="1"/>
  <c r="A149" i="82" s="1"/>
  <c r="A150" i="82" s="1"/>
  <c r="A151" i="82" s="1"/>
  <c r="A152" i="82" s="1"/>
  <c r="A153" i="82" s="1"/>
  <c r="A154" i="82" s="1"/>
  <c r="A155" i="82" s="1"/>
  <c r="A156" i="82" s="1"/>
  <c r="A157" i="82" s="1"/>
  <c r="A158" i="82" s="1"/>
  <c r="A159" i="82" s="1"/>
  <c r="A160" i="82" s="1"/>
  <c r="A161" i="82" s="1"/>
  <c r="A162" i="82" s="1"/>
  <c r="A163" i="82" s="1"/>
  <c r="A164" i="82" s="1"/>
  <c r="A165" i="82" s="1"/>
  <c r="A166" i="82" s="1"/>
  <c r="A167" i="82" s="1"/>
  <c r="A168" i="82" s="1"/>
  <c r="A169" i="82" s="1"/>
  <c r="A170" i="82" s="1"/>
  <c r="A171" i="82" s="1"/>
  <c r="A172" i="82" s="1"/>
  <c r="A173" i="82" s="1"/>
  <c r="A174" i="82" s="1"/>
  <c r="A175" i="82" s="1"/>
  <c r="A176" i="82" s="1"/>
  <c r="A177" i="82" s="1"/>
  <c r="A178" i="82" s="1"/>
  <c r="A179" i="82" s="1"/>
  <c r="E141" i="144"/>
  <c r="E111" i="144"/>
  <c r="E146" i="144"/>
  <c r="E113" i="132"/>
  <c r="E144" i="132"/>
  <c r="E59" i="132" s="1"/>
  <c r="E149" i="132"/>
  <c r="E75" i="132" s="1"/>
  <c r="E77" i="132" s="1"/>
  <c r="H33" i="120"/>
  <c r="H32" i="120"/>
  <c r="H24" i="120"/>
  <c r="G36" i="120"/>
  <c r="H25" i="120"/>
  <c r="F36" i="120"/>
  <c r="H30" i="120"/>
  <c r="H17" i="120"/>
  <c r="H15" i="120"/>
  <c r="E176" i="144"/>
  <c r="D26" i="157"/>
  <c r="H25" i="144"/>
  <c r="A25" i="144"/>
  <c r="D44" i="86"/>
  <c r="F111" i="82"/>
  <c r="G28" i="133"/>
  <c r="G41" i="133" s="1"/>
  <c r="I11" i="34"/>
  <c r="I17" i="34" s="1"/>
  <c r="E125" i="132" s="1"/>
  <c r="E17" i="34"/>
  <c r="D13" i="157" s="1"/>
  <c r="I13" i="157" s="1"/>
  <c r="E19" i="75"/>
  <c r="G18" i="157"/>
  <c r="F19" i="157"/>
  <c r="C38" i="82"/>
  <c r="F38" i="82"/>
  <c r="F139" i="82" s="1"/>
  <c r="F75" i="82"/>
  <c r="F228" i="82" s="1"/>
  <c r="E27" i="46"/>
  <c r="E18" i="200" s="1"/>
  <c r="M34" i="117"/>
  <c r="O34" i="117" s="1"/>
  <c r="K34" i="117"/>
  <c r="M22" i="117"/>
  <c r="O22" i="117" s="1"/>
  <c r="K22" i="117"/>
  <c r="K33" i="117"/>
  <c r="M33" i="117"/>
  <c r="O33" i="117" s="1"/>
  <c r="M26" i="117"/>
  <c r="O26" i="117" s="1"/>
  <c r="K26" i="117"/>
  <c r="M24" i="117"/>
  <c r="O24" i="117" s="1"/>
  <c r="K24" i="117"/>
  <c r="M18" i="117"/>
  <c r="O18" i="117" s="1"/>
  <c r="K18" i="117"/>
  <c r="M19" i="117"/>
  <c r="O19" i="117" s="1"/>
  <c r="K19" i="117"/>
  <c r="K17" i="117"/>
  <c r="M17" i="117"/>
  <c r="O17" i="117" s="1"/>
  <c r="M16" i="117"/>
  <c r="O16" i="117" s="1"/>
  <c r="K16" i="117"/>
  <c r="K13" i="117"/>
  <c r="M13" i="117"/>
  <c r="O13" i="117" s="1"/>
  <c r="M12" i="117"/>
  <c r="O12" i="117" s="1"/>
  <c r="K12" i="117"/>
  <c r="K35" i="116"/>
  <c r="K45" i="116" s="1"/>
  <c r="J47" i="116" s="1"/>
  <c r="M23" i="117"/>
  <c r="O23" i="117" s="1"/>
  <c r="K23" i="117"/>
  <c r="M20" i="117"/>
  <c r="O20" i="117" s="1"/>
  <c r="K20" i="117"/>
  <c r="H35" i="117"/>
  <c r="K29" i="117"/>
  <c r="M29" i="117"/>
  <c r="O29" i="117" s="1"/>
  <c r="K21" i="117"/>
  <c r="M21" i="117"/>
  <c r="O21" i="117" s="1"/>
  <c r="N11" i="117"/>
  <c r="N35" i="117" s="1"/>
  <c r="H13" i="118" s="1"/>
  <c r="J35" i="117"/>
  <c r="J45" i="117" s="1"/>
  <c r="I35" i="117"/>
  <c r="I45" i="117" s="1"/>
  <c r="M11" i="117"/>
  <c r="K11" i="117"/>
  <c r="M15" i="117"/>
  <c r="O15" i="117" s="1"/>
  <c r="K15" i="117"/>
  <c r="M35" i="116"/>
  <c r="G11" i="118" s="1"/>
  <c r="O11" i="116"/>
  <c r="O35" i="116" s="1"/>
  <c r="O45" i="116" s="1"/>
  <c r="M31" i="117"/>
  <c r="O31" i="117" s="1"/>
  <c r="K31" i="117"/>
  <c r="K25" i="117"/>
  <c r="M25" i="117"/>
  <c r="O25" i="117" s="1"/>
  <c r="M30" i="117"/>
  <c r="O30" i="117" s="1"/>
  <c r="K30" i="117"/>
  <c r="M27" i="117"/>
  <c r="O27" i="117" s="1"/>
  <c r="K27" i="117"/>
  <c r="M32" i="117"/>
  <c r="O32" i="117" s="1"/>
  <c r="K32" i="117"/>
  <c r="M14" i="117"/>
  <c r="O14" i="117" s="1"/>
  <c r="K14" i="117"/>
  <c r="M28" i="117"/>
  <c r="O28" i="117" s="1"/>
  <c r="K28" i="117"/>
  <c r="J36" i="121"/>
  <c r="J46" i="121" s="1"/>
  <c r="N12" i="121"/>
  <c r="N36" i="121" s="1"/>
  <c r="J36" i="120"/>
  <c r="J46" i="120" s="1"/>
  <c r="N12" i="120"/>
  <c r="N36" i="120" s="1"/>
  <c r="K13" i="120"/>
  <c r="M13" i="120"/>
  <c r="O13" i="120" s="1"/>
  <c r="K13" i="119"/>
  <c r="M13" i="119"/>
  <c r="O13" i="119" s="1"/>
  <c r="K22" i="120"/>
  <c r="M22" i="120"/>
  <c r="O22" i="120" s="1"/>
  <c r="K31" i="120"/>
  <c r="M31" i="120"/>
  <c r="O31" i="120" s="1"/>
  <c r="M15" i="120"/>
  <c r="O15" i="120" s="1"/>
  <c r="K15" i="120"/>
  <c r="K24" i="119"/>
  <c r="M24" i="119"/>
  <c r="O24" i="119" s="1"/>
  <c r="K15" i="119"/>
  <c r="M15" i="119"/>
  <c r="O15" i="119" s="1"/>
  <c r="J35" i="119"/>
  <c r="J45" i="119" s="1"/>
  <c r="N11" i="119"/>
  <c r="N35" i="119" s="1"/>
  <c r="K13" i="121"/>
  <c r="M13" i="121"/>
  <c r="O13" i="121" s="1"/>
  <c r="M32" i="121"/>
  <c r="O32" i="121" s="1"/>
  <c r="K32" i="121"/>
  <c r="M20" i="121"/>
  <c r="O20" i="121" s="1"/>
  <c r="K20" i="121"/>
  <c r="K15" i="121"/>
  <c r="M15" i="121"/>
  <c r="O15" i="121" s="1"/>
  <c r="K11" i="119"/>
  <c r="I35" i="119"/>
  <c r="I45" i="119" s="1"/>
  <c r="M11" i="119"/>
  <c r="M17" i="121"/>
  <c r="O17" i="121" s="1"/>
  <c r="K17" i="121"/>
  <c r="K21" i="121"/>
  <c r="M21" i="121"/>
  <c r="O21" i="121" s="1"/>
  <c r="H36" i="121"/>
  <c r="K34" i="120"/>
  <c r="M34" i="120"/>
  <c r="O34" i="120" s="1"/>
  <c r="M18" i="120"/>
  <c r="O18" i="120" s="1"/>
  <c r="K18" i="120"/>
  <c r="K27" i="120"/>
  <c r="M27" i="120"/>
  <c r="O27" i="120" s="1"/>
  <c r="K28" i="119"/>
  <c r="M28" i="119"/>
  <c r="O28" i="119" s="1"/>
  <c r="M19" i="119"/>
  <c r="O19" i="119" s="1"/>
  <c r="K19" i="119"/>
  <c r="K25" i="121"/>
  <c r="M25" i="121"/>
  <c r="O25" i="121" s="1"/>
  <c r="K27" i="121"/>
  <c r="M27" i="121"/>
  <c r="O27" i="121" s="1"/>
  <c r="K29" i="121"/>
  <c r="M29" i="121"/>
  <c r="O29" i="121" s="1"/>
  <c r="K31" i="121"/>
  <c r="M31" i="121"/>
  <c r="O31" i="121" s="1"/>
  <c r="K24" i="120"/>
  <c r="M24" i="120"/>
  <c r="O24" i="120" s="1"/>
  <c r="K33" i="120"/>
  <c r="M33" i="120"/>
  <c r="O33" i="120" s="1"/>
  <c r="K17" i="120"/>
  <c r="M17" i="120"/>
  <c r="O17" i="120" s="1"/>
  <c r="M26" i="119"/>
  <c r="O26" i="119" s="1"/>
  <c r="K26" i="119"/>
  <c r="K17" i="119"/>
  <c r="M17" i="119"/>
  <c r="O17" i="119" s="1"/>
  <c r="K21" i="119"/>
  <c r="M21" i="119"/>
  <c r="O21" i="119" s="1"/>
  <c r="K23" i="121"/>
  <c r="M23" i="121"/>
  <c r="O23" i="121" s="1"/>
  <c r="M33" i="121"/>
  <c r="O33" i="121" s="1"/>
  <c r="K33" i="121"/>
  <c r="K35" i="121"/>
  <c r="M35" i="121"/>
  <c r="O35" i="121" s="1"/>
  <c r="K26" i="121"/>
  <c r="M26" i="121"/>
  <c r="O26" i="121" s="1"/>
  <c r="K21" i="120"/>
  <c r="M21" i="120"/>
  <c r="O21" i="120" s="1"/>
  <c r="K29" i="119"/>
  <c r="M29" i="119"/>
  <c r="O29" i="119" s="1"/>
  <c r="K29" i="120"/>
  <c r="M29" i="120"/>
  <c r="O29" i="120" s="1"/>
  <c r="K28" i="121"/>
  <c r="M28" i="121"/>
  <c r="O28" i="121" s="1"/>
  <c r="M12" i="119"/>
  <c r="O12" i="119" s="1"/>
  <c r="K12" i="119"/>
  <c r="H11" i="118"/>
  <c r="N45" i="116"/>
  <c r="K12" i="121"/>
  <c r="I36" i="121"/>
  <c r="I46" i="121" s="1"/>
  <c r="M12" i="121"/>
  <c r="H35" i="119"/>
  <c r="M18" i="119"/>
  <c r="O18" i="119" s="1"/>
  <c r="K18" i="119"/>
  <c r="K22" i="119"/>
  <c r="M22" i="119"/>
  <c r="O22" i="119" s="1"/>
  <c r="K30" i="120"/>
  <c r="M30" i="120"/>
  <c r="O30" i="120" s="1"/>
  <c r="K14" i="120"/>
  <c r="M14" i="120"/>
  <c r="O14" i="120" s="1"/>
  <c r="K23" i="120"/>
  <c r="M23" i="120"/>
  <c r="O23" i="120" s="1"/>
  <c r="K32" i="119"/>
  <c r="M32" i="119"/>
  <c r="O32" i="119" s="1"/>
  <c r="K27" i="119"/>
  <c r="M27" i="119"/>
  <c r="O27" i="119" s="1"/>
  <c r="K25" i="119"/>
  <c r="M25" i="119"/>
  <c r="O25" i="119" s="1"/>
  <c r="K16" i="119"/>
  <c r="M16" i="119"/>
  <c r="O16" i="119" s="1"/>
  <c r="K30" i="121"/>
  <c r="M30" i="121"/>
  <c r="O30" i="121" s="1"/>
  <c r="K34" i="121"/>
  <c r="M34" i="121"/>
  <c r="O34" i="121" s="1"/>
  <c r="K19" i="121"/>
  <c r="M19" i="121"/>
  <c r="O19" i="121" s="1"/>
  <c r="M26" i="120"/>
  <c r="O26" i="120" s="1"/>
  <c r="K26" i="120"/>
  <c r="K35" i="120"/>
  <c r="M35" i="120"/>
  <c r="O35" i="120" s="1"/>
  <c r="K19" i="120"/>
  <c r="M19" i="120"/>
  <c r="O19" i="120" s="1"/>
  <c r="M20" i="119"/>
  <c r="O20" i="119" s="1"/>
  <c r="K20" i="119"/>
  <c r="K14" i="121"/>
  <c r="M14" i="121"/>
  <c r="O14" i="121" s="1"/>
  <c r="K16" i="121"/>
  <c r="M16" i="121"/>
  <c r="O16" i="121" s="1"/>
  <c r="K18" i="121"/>
  <c r="M18" i="121"/>
  <c r="O18" i="121" s="1"/>
  <c r="K32" i="120"/>
  <c r="M32" i="120"/>
  <c r="O32" i="120" s="1"/>
  <c r="K16" i="120"/>
  <c r="M16" i="120"/>
  <c r="O16" i="120" s="1"/>
  <c r="K25" i="120"/>
  <c r="M25" i="120"/>
  <c r="O25" i="120" s="1"/>
  <c r="K34" i="119"/>
  <c r="M34" i="119"/>
  <c r="O34" i="119" s="1"/>
  <c r="K31" i="119"/>
  <c r="M31" i="119"/>
  <c r="O31" i="119" s="1"/>
  <c r="K33" i="119"/>
  <c r="M33" i="119"/>
  <c r="O33" i="119" s="1"/>
  <c r="K14" i="119"/>
  <c r="M14" i="119"/>
  <c r="O14" i="119" s="1"/>
  <c r="K22" i="121"/>
  <c r="M22" i="121"/>
  <c r="O22" i="121" s="1"/>
  <c r="K24" i="121"/>
  <c r="M24" i="121"/>
  <c r="O24" i="121" s="1"/>
  <c r="K20" i="120"/>
  <c r="M20" i="120"/>
  <c r="O20" i="120" s="1"/>
  <c r="K30" i="119"/>
  <c r="M30" i="119"/>
  <c r="O30" i="119" s="1"/>
  <c r="E180" i="144"/>
  <c r="K12" i="120"/>
  <c r="M12" i="120"/>
  <c r="M23" i="119"/>
  <c r="O23" i="119" s="1"/>
  <c r="K23" i="119"/>
  <c r="I36" i="120" l="1"/>
  <c r="I46" i="120" s="1"/>
  <c r="M28" i="120"/>
  <c r="O28" i="120" s="1"/>
  <c r="K28" i="120"/>
  <c r="N47" i="116"/>
  <c r="I47" i="116"/>
  <c r="K47" i="116" s="1"/>
  <c r="F112" i="82"/>
  <c r="G123" i="178"/>
  <c r="I43" i="2"/>
  <c r="I45" i="2" s="1"/>
  <c r="E51" i="40" s="1"/>
  <c r="G27" i="156" s="1"/>
  <c r="G28" i="156" s="1"/>
  <c r="E171" i="132"/>
  <c r="E170" i="132"/>
  <c r="E184" i="132" s="1"/>
  <c r="E179" i="132"/>
  <c r="I27" i="22"/>
  <c r="E220" i="132"/>
  <c r="E265" i="132"/>
  <c r="E60" i="184"/>
  <c r="E63" i="132"/>
  <c r="F123" i="82"/>
  <c r="H36" i="120"/>
  <c r="F243" i="82"/>
  <c r="F270" i="82" s="1"/>
  <c r="A180" i="82"/>
  <c r="A181" i="82" s="1"/>
  <c r="A182" i="82" s="1"/>
  <c r="A183" i="82" s="1"/>
  <c r="I180" i="82"/>
  <c r="I181" i="82" s="1"/>
  <c r="I182" i="82" s="1"/>
  <c r="I183" i="82" s="1"/>
  <c r="A83" i="132"/>
  <c r="F203" i="82"/>
  <c r="F230" i="82" s="1"/>
  <c r="G236" i="178"/>
  <c r="G202" i="178"/>
  <c r="E74" i="144"/>
  <c r="E76" i="144" s="1"/>
  <c r="E70" i="144"/>
  <c r="E62" i="144"/>
  <c r="E58" i="144"/>
  <c r="A26" i="144"/>
  <c r="A27" i="144" s="1"/>
  <c r="A28" i="144" s="1"/>
  <c r="A29" i="144" s="1"/>
  <c r="A30" i="144" s="1"/>
  <c r="A31" i="144" s="1"/>
  <c r="A32" i="144" s="1"/>
  <c r="A33" i="144" s="1"/>
  <c r="A34" i="144" s="1"/>
  <c r="A35" i="144" s="1"/>
  <c r="A36" i="144" s="1"/>
  <c r="A37" i="144" s="1"/>
  <c r="A38" i="144" s="1"/>
  <c r="A39" i="144" s="1"/>
  <c r="A40" i="144" s="1"/>
  <c r="H26" i="144"/>
  <c r="H27" i="144" s="1"/>
  <c r="H28" i="144" s="1"/>
  <c r="H29" i="144" s="1"/>
  <c r="H30" i="144" s="1"/>
  <c r="H31" i="144" s="1"/>
  <c r="H32" i="144" s="1"/>
  <c r="H33" i="144" s="1"/>
  <c r="H34" i="144" s="1"/>
  <c r="H35" i="144" s="1"/>
  <c r="H36" i="144" s="1"/>
  <c r="H37" i="144" s="1"/>
  <c r="H38" i="144" s="1"/>
  <c r="H39" i="144" s="1"/>
  <c r="H40" i="144" s="1"/>
  <c r="E181" i="144"/>
  <c r="E71" i="132"/>
  <c r="E114" i="132"/>
  <c r="E127" i="132"/>
  <c r="E18" i="132"/>
  <c r="C18" i="157"/>
  <c r="H18" i="157" s="1"/>
  <c r="C24" i="157"/>
  <c r="C14" i="157"/>
  <c r="H14" i="157" s="1"/>
  <c r="I14" i="157" s="1"/>
  <c r="C17" i="157"/>
  <c r="H17" i="157" s="1"/>
  <c r="C20" i="157"/>
  <c r="C23" i="157"/>
  <c r="C22" i="157"/>
  <c r="C16" i="157"/>
  <c r="H16" i="157" s="1"/>
  <c r="C19" i="157"/>
  <c r="C15" i="157"/>
  <c r="H15" i="157" s="1"/>
  <c r="C21" i="157"/>
  <c r="C25" i="157"/>
  <c r="E182" i="144"/>
  <c r="E37" i="40"/>
  <c r="A55" i="144"/>
  <c r="A56" i="144" s="1"/>
  <c r="H55" i="144"/>
  <c r="H56" i="144" s="1"/>
  <c r="H57" i="144" s="1"/>
  <c r="H58" i="144" s="1"/>
  <c r="H59" i="144" s="1"/>
  <c r="H60" i="144" s="1"/>
  <c r="H61" i="144" s="1"/>
  <c r="H62" i="144" s="1"/>
  <c r="H63" i="144" s="1"/>
  <c r="H64" i="144" s="1"/>
  <c r="H65" i="144" s="1"/>
  <c r="H66" i="144" s="1"/>
  <c r="H67" i="144" s="1"/>
  <c r="H68" i="144" s="1"/>
  <c r="E28" i="133"/>
  <c r="G19" i="157"/>
  <c r="F20" i="157"/>
  <c r="N45" i="117"/>
  <c r="E169" i="144"/>
  <c r="M35" i="117"/>
  <c r="M45" i="117" s="1"/>
  <c r="O11" i="117"/>
  <c r="O35" i="117" s="1"/>
  <c r="O45" i="117" s="1"/>
  <c r="K36" i="120"/>
  <c r="K46" i="120" s="1"/>
  <c r="J48" i="120" s="1"/>
  <c r="K35" i="117"/>
  <c r="K45" i="117" s="1"/>
  <c r="J47" i="117" s="1"/>
  <c r="H15" i="118"/>
  <c r="I11" i="118"/>
  <c r="M36" i="120"/>
  <c r="O12" i="120"/>
  <c r="O36" i="120" s="1"/>
  <c r="O46" i="120" s="1"/>
  <c r="K36" i="121"/>
  <c r="K46" i="121" s="1"/>
  <c r="I48" i="121" s="1"/>
  <c r="N45" i="119"/>
  <c r="H18" i="118"/>
  <c r="M45" i="116"/>
  <c r="M47" i="116" s="1"/>
  <c r="M35" i="119"/>
  <c r="O11" i="119"/>
  <c r="O35" i="119" s="1"/>
  <c r="O45" i="119" s="1"/>
  <c r="N46" i="121"/>
  <c r="H22" i="118"/>
  <c r="O12" i="121"/>
  <c r="O36" i="121" s="1"/>
  <c r="O46" i="121" s="1"/>
  <c r="M36" i="121"/>
  <c r="N46" i="120"/>
  <c r="H20" i="118"/>
  <c r="E112" i="144"/>
  <c r="K35" i="119"/>
  <c r="K45" i="119" s="1"/>
  <c r="J47" i="119" s="1"/>
  <c r="E172" i="132" l="1"/>
  <c r="E185" i="132"/>
  <c r="E116" i="132" s="1"/>
  <c r="M47" i="117"/>
  <c r="I47" i="117"/>
  <c r="N47" i="117"/>
  <c r="O47" i="117" s="1"/>
  <c r="E40" i="184"/>
  <c r="E41" i="184" s="1"/>
  <c r="E23" i="186" s="1"/>
  <c r="E25" i="186" s="1"/>
  <c r="E29" i="186" s="1"/>
  <c r="E130" i="144" s="1"/>
  <c r="E13" i="195"/>
  <c r="E14" i="156"/>
  <c r="G14" i="156" s="1"/>
  <c r="E12" i="156"/>
  <c r="G12" i="156" s="1"/>
  <c r="E29" i="40"/>
  <c r="E49" i="40"/>
  <c r="I48" i="120"/>
  <c r="K48" i="120" s="1"/>
  <c r="F255" i="82"/>
  <c r="F246" i="82"/>
  <c r="F256" i="82" s="1"/>
  <c r="E209" i="132"/>
  <c r="F206" i="82"/>
  <c r="F215" i="82"/>
  <c r="H82" i="132"/>
  <c r="E254" i="132"/>
  <c r="G214" i="178"/>
  <c r="G205" i="178"/>
  <c r="G215" i="178" s="1"/>
  <c r="G248" i="178"/>
  <c r="G239" i="178"/>
  <c r="G249" i="178" s="1"/>
  <c r="A57" i="144"/>
  <c r="A58" i="144" s="1"/>
  <c r="A59" i="144" s="1"/>
  <c r="A60" i="144" s="1"/>
  <c r="A61" i="144" s="1"/>
  <c r="A62" i="144" s="1"/>
  <c r="A63" i="144" s="1"/>
  <c r="A64" i="144" s="1"/>
  <c r="A65" i="144" s="1"/>
  <c r="A66" i="144" s="1"/>
  <c r="A67" i="144" s="1"/>
  <c r="A68" i="144" s="1"/>
  <c r="A69" i="144" s="1"/>
  <c r="E114" i="144"/>
  <c r="E113" i="144"/>
  <c r="E115" i="132"/>
  <c r="H69" i="144"/>
  <c r="H70" i="144" s="1"/>
  <c r="E183" i="144"/>
  <c r="I15" i="157"/>
  <c r="I16" i="157" s="1"/>
  <c r="I17" i="157" s="1"/>
  <c r="I18" i="157" s="1"/>
  <c r="D14" i="157"/>
  <c r="D15" i="157" s="1"/>
  <c r="D16" i="157" s="1"/>
  <c r="D17" i="157" s="1"/>
  <c r="D18" i="157" s="1"/>
  <c r="D19" i="157" s="1"/>
  <c r="D20" i="157" s="1"/>
  <c r="D21" i="157" s="1"/>
  <c r="D22" i="157" s="1"/>
  <c r="D23" i="157" s="1"/>
  <c r="D24" i="157" s="1"/>
  <c r="D25" i="157" s="1"/>
  <c r="H19" i="157"/>
  <c r="G20" i="157"/>
  <c r="H20" i="157" s="1"/>
  <c r="F21" i="157"/>
  <c r="N48" i="120"/>
  <c r="O47" i="116"/>
  <c r="J48" i="121"/>
  <c r="K48" i="121" s="1"/>
  <c r="N48" i="121"/>
  <c r="K47" i="117"/>
  <c r="G13" i="118"/>
  <c r="I13" i="118" s="1"/>
  <c r="I15" i="118" s="1"/>
  <c r="H24" i="118"/>
  <c r="H26" i="118" s="1"/>
  <c r="M46" i="121"/>
  <c r="M48" i="121" s="1"/>
  <c r="G22" i="118"/>
  <c r="I22" i="118" s="1"/>
  <c r="G18" i="118"/>
  <c r="M45" i="119"/>
  <c r="M47" i="119" s="1"/>
  <c r="N47" i="119"/>
  <c r="I47" i="119"/>
  <c r="K47" i="119" s="1"/>
  <c r="M46" i="120"/>
  <c r="M48" i="120" s="1"/>
  <c r="G20" i="118"/>
  <c r="I20" i="118" s="1"/>
  <c r="E186" i="132" l="1"/>
  <c r="E228" i="132" s="1"/>
  <c r="E293" i="132"/>
  <c r="E13" i="144"/>
  <c r="G22" i="156"/>
  <c r="E16" i="137" s="1"/>
  <c r="E136" i="132" s="1"/>
  <c r="E13" i="66"/>
  <c r="E15" i="66" s="1"/>
  <c r="E22" i="132" s="1"/>
  <c r="E15" i="195"/>
  <c r="E22" i="144" s="1"/>
  <c r="E131" i="132"/>
  <c r="G15" i="69"/>
  <c r="G19" i="186"/>
  <c r="E129" i="144" s="1"/>
  <c r="G15" i="186"/>
  <c r="E128" i="144" s="1"/>
  <c r="E28" i="40"/>
  <c r="E30" i="40" s="1"/>
  <c r="F259" i="82"/>
  <c r="F265" i="82" s="1"/>
  <c r="F264" i="82"/>
  <c r="F216" i="82"/>
  <c r="F224" i="82"/>
  <c r="F219" i="82"/>
  <c r="F222" i="82" s="1"/>
  <c r="H83" i="132"/>
  <c r="H84" i="132" s="1"/>
  <c r="H85" i="132" s="1"/>
  <c r="H86" i="132" s="1"/>
  <c r="H87" i="132" s="1"/>
  <c r="H88" i="132" s="1"/>
  <c r="H89" i="132" s="1"/>
  <c r="H90" i="132" s="1"/>
  <c r="H91" i="132" s="1"/>
  <c r="H92" i="132" s="1"/>
  <c r="H93" i="132" s="1"/>
  <c r="H94" i="132" s="1"/>
  <c r="A84" i="132"/>
  <c r="A85" i="132" s="1"/>
  <c r="A86" i="132" s="1"/>
  <c r="A87" i="132" s="1"/>
  <c r="A88" i="132" s="1"/>
  <c r="A89" i="132" s="1"/>
  <c r="A90" i="132" s="1"/>
  <c r="A91" i="132" s="1"/>
  <c r="A92" i="132" s="1"/>
  <c r="A93" i="132" s="1"/>
  <c r="A94" i="132" s="1"/>
  <c r="A70" i="144"/>
  <c r="A71" i="144" s="1"/>
  <c r="A72" i="144" s="1"/>
  <c r="A73" i="144" s="1"/>
  <c r="A74" i="144" s="1"/>
  <c r="A75" i="144" s="1"/>
  <c r="A76" i="144" s="1"/>
  <c r="A77" i="144" s="1"/>
  <c r="A78" i="144" s="1"/>
  <c r="A79" i="144" s="1"/>
  <c r="A80" i="144" s="1"/>
  <c r="A81" i="144" s="1"/>
  <c r="A82" i="144" s="1"/>
  <c r="A83" i="144" s="1"/>
  <c r="A84" i="144" s="1"/>
  <c r="A85" i="144" s="1"/>
  <c r="A86" i="144" s="1"/>
  <c r="A87" i="144" s="1"/>
  <c r="A88" i="144" s="1"/>
  <c r="A89" i="144" s="1"/>
  <c r="A90" i="144" s="1"/>
  <c r="A91" i="144" s="1"/>
  <c r="A92" i="144" s="1"/>
  <c r="G252" i="178"/>
  <c r="G255" i="178" s="1"/>
  <c r="G259" i="178" s="1"/>
  <c r="E61" i="144" s="1"/>
  <c r="G218" i="178"/>
  <c r="G221" i="178" s="1"/>
  <c r="G225" i="178" s="1"/>
  <c r="E57" i="144" s="1"/>
  <c r="E115" i="144"/>
  <c r="E117" i="132"/>
  <c r="H71" i="144"/>
  <c r="H72" i="144" s="1"/>
  <c r="H73" i="144" s="1"/>
  <c r="H74" i="144" s="1"/>
  <c r="H75" i="144" s="1"/>
  <c r="H76" i="144" s="1"/>
  <c r="H77" i="144" s="1"/>
  <c r="H78" i="144" s="1"/>
  <c r="H79" i="144" s="1"/>
  <c r="E273" i="132"/>
  <c r="I19" i="157"/>
  <c r="I20" i="157" s="1"/>
  <c r="O48" i="120"/>
  <c r="G21" i="157"/>
  <c r="H21" i="157" s="1"/>
  <c r="F22" i="157"/>
  <c r="G15" i="118"/>
  <c r="O48" i="121"/>
  <c r="G24" i="118"/>
  <c r="O47" i="119"/>
  <c r="I18" i="118"/>
  <c r="I24" i="118" s="1"/>
  <c r="I26" i="118" s="1"/>
  <c r="H29" i="118" s="1"/>
  <c r="E232" i="132"/>
  <c r="E287" i="132"/>
  <c r="E130" i="132" l="1"/>
  <c r="E130" i="200"/>
  <c r="E133" i="200" s="1"/>
  <c r="E139" i="200" s="1"/>
  <c r="E25" i="69"/>
  <c r="E13" i="200"/>
  <c r="E16" i="200" s="1"/>
  <c r="E25" i="200" s="1"/>
  <c r="E27" i="69"/>
  <c r="E31" i="69" s="1"/>
  <c r="E13" i="132"/>
  <c r="E16" i="144"/>
  <c r="E25" i="144" s="1"/>
  <c r="F266" i="82"/>
  <c r="F262" i="82"/>
  <c r="F272" i="82" s="1"/>
  <c r="E62" i="132" s="1"/>
  <c r="F232" i="82"/>
  <c r="E58" i="132" s="1"/>
  <c r="F225" i="82"/>
  <c r="F226" i="82" s="1"/>
  <c r="E63" i="144"/>
  <c r="E59" i="144"/>
  <c r="H80" i="144"/>
  <c r="H81" i="144" s="1"/>
  <c r="A93" i="144"/>
  <c r="G26" i="118"/>
  <c r="G29" i="118" s="1"/>
  <c r="I21" i="157"/>
  <c r="F23" i="157"/>
  <c r="G22" i="157"/>
  <c r="H22" i="157" s="1"/>
  <c r="E235" i="132"/>
  <c r="E277" i="132"/>
  <c r="E32" i="200" l="1"/>
  <c r="E28" i="200"/>
  <c r="E266" i="132"/>
  <c r="E221" i="132"/>
  <c r="E60" i="132"/>
  <c r="E64" i="132"/>
  <c r="E16" i="132"/>
  <c r="E131" i="144"/>
  <c r="H82" i="144"/>
  <c r="H83" i="144" s="1"/>
  <c r="H84" i="144" s="1"/>
  <c r="H85" i="144" s="1"/>
  <c r="H86" i="144" s="1"/>
  <c r="H87" i="144" s="1"/>
  <c r="H88" i="144" s="1"/>
  <c r="H89" i="144" s="1"/>
  <c r="H90" i="144" s="1"/>
  <c r="H91" i="144" s="1"/>
  <c r="H92" i="144" s="1"/>
  <c r="H93" i="144" s="1"/>
  <c r="E65" i="144"/>
  <c r="E237" i="132"/>
  <c r="I22" i="157"/>
  <c r="G23" i="157"/>
  <c r="H23" i="157" s="1"/>
  <c r="F24" i="157"/>
  <c r="I29" i="118"/>
  <c r="H32" i="133"/>
  <c r="E280" i="132"/>
  <c r="E25" i="132" l="1"/>
  <c r="E66" i="132"/>
  <c r="E133" i="132"/>
  <c r="E282" i="132"/>
  <c r="I23" i="157"/>
  <c r="G24" i="157"/>
  <c r="H24" i="157" s="1"/>
  <c r="F25" i="157"/>
  <c r="G25" i="157" s="1"/>
  <c r="H25" i="157" s="1"/>
  <c r="G32" i="133"/>
  <c r="E139" i="132" l="1"/>
  <c r="I24" i="157"/>
  <c r="I25" i="157" s="1"/>
  <c r="E32" i="133"/>
  <c r="F154" i="82" l="1"/>
  <c r="F166" i="82" s="1"/>
  <c r="E28" i="132"/>
  <c r="E253" i="132"/>
  <c r="E32" i="132"/>
  <c r="E208" i="132"/>
  <c r="F114" i="82"/>
  <c r="F117" i="82" s="1"/>
  <c r="F135" i="82" s="1"/>
  <c r="F181" i="82"/>
  <c r="F157" i="82" l="1"/>
  <c r="F175" i="82" s="1"/>
  <c r="E211" i="132"/>
  <c r="E256" i="132"/>
  <c r="F141" i="82"/>
  <c r="F126" i="82"/>
  <c r="F130" i="82" s="1"/>
  <c r="F136" i="82" s="1"/>
  <c r="F137" i="82" s="1"/>
  <c r="F127" i="82"/>
  <c r="E123" i="144"/>
  <c r="F167" i="82" l="1"/>
  <c r="F170" i="82"/>
  <c r="F176" i="82" s="1"/>
  <c r="F177" i="82" s="1"/>
  <c r="F133" i="82"/>
  <c r="F143" i="82" s="1"/>
  <c r="E125" i="144"/>
  <c r="E136" i="144" s="1"/>
  <c r="E258" i="132" l="1"/>
  <c r="E83" i="200"/>
  <c r="E84" i="200" s="1"/>
  <c r="E72" i="200"/>
  <c r="E73" i="200" s="1"/>
  <c r="E79" i="200" s="1"/>
  <c r="E27" i="200"/>
  <c r="E29" i="200" s="1"/>
  <c r="F173" i="82"/>
  <c r="F183" i="82" s="1"/>
  <c r="E295" i="132" s="1"/>
  <c r="E83" i="132"/>
  <c r="E40" i="69"/>
  <c r="E42" i="69" s="1"/>
  <c r="E15" i="133" s="1"/>
  <c r="E72" i="132"/>
  <c r="E213" i="132"/>
  <c r="E27" i="132"/>
  <c r="E289" i="132"/>
  <c r="E28" i="144"/>
  <c r="E32" i="144"/>
  <c r="E260" i="132"/>
  <c r="G159" i="178"/>
  <c r="G162" i="178" s="1"/>
  <c r="G125" i="178"/>
  <c r="G128" i="178" s="1"/>
  <c r="E87" i="132" l="1"/>
  <c r="E44" i="69"/>
  <c r="E46" i="69" s="1"/>
  <c r="E17" i="133" s="1"/>
  <c r="E31" i="200"/>
  <c r="E33" i="200" s="1"/>
  <c r="E87" i="200"/>
  <c r="E88" i="200" s="1"/>
  <c r="E90" i="200" s="1"/>
  <c r="E92" i="200" s="1"/>
  <c r="E31" i="132"/>
  <c r="E41" i="200"/>
  <c r="E29" i="132"/>
  <c r="E297" i="132"/>
  <c r="E73" i="132"/>
  <c r="E88" i="132"/>
  <c r="E33" i="132"/>
  <c r="E84" i="132"/>
  <c r="E215" i="132"/>
  <c r="E291" i="132"/>
  <c r="G137" i="178"/>
  <c r="G141" i="178" s="1"/>
  <c r="G138" i="178"/>
  <c r="G171" i="178"/>
  <c r="G175" i="178" s="1"/>
  <c r="G172" i="178"/>
  <c r="E94" i="200" l="1"/>
  <c r="E10" i="201" s="1"/>
  <c r="E261" i="132"/>
  <c r="E79" i="132"/>
  <c r="E90" i="132"/>
  <c r="E41" i="132"/>
  <c r="E216" i="132"/>
  <c r="E262" i="132"/>
  <c r="E299" i="132"/>
  <c r="G178" i="178"/>
  <c r="G182" i="178" s="1"/>
  <c r="E42" i="186" s="1"/>
  <c r="E44" i="186" s="1"/>
  <c r="G144" i="178"/>
  <c r="G148" i="178" s="1"/>
  <c r="E16" i="142"/>
  <c r="E11" i="201" l="1"/>
  <c r="E12" i="201"/>
  <c r="E13" i="201" s="1"/>
  <c r="E270" i="132"/>
  <c r="E92" i="132"/>
  <c r="E94" i="132" s="1"/>
  <c r="E217" i="132"/>
  <c r="E219" i="132"/>
  <c r="E317" i="132"/>
  <c r="E264" i="132"/>
  <c r="F26" i="142"/>
  <c r="F18" i="142"/>
  <c r="F17" i="142"/>
  <c r="F16" i="142"/>
  <c r="F25" i="142"/>
  <c r="F24" i="142"/>
  <c r="F23" i="142"/>
  <c r="F27" i="142"/>
  <c r="F22" i="142"/>
  <c r="F21" i="142"/>
  <c r="F20" i="142"/>
  <c r="F19" i="142"/>
  <c r="E82" i="144"/>
  <c r="E83" i="144" s="1"/>
  <c r="E38" i="186"/>
  <c r="E40" i="186" s="1"/>
  <c r="E329" i="132"/>
  <c r="E319" i="132"/>
  <c r="E31" i="144"/>
  <c r="E86" i="144"/>
  <c r="E27" i="144"/>
  <c r="E71" i="144"/>
  <c r="H16" i="142"/>
  <c r="D34" i="201" l="1"/>
  <c r="I34" i="201" s="1"/>
  <c r="D33" i="201"/>
  <c r="I33" i="201" s="1"/>
  <c r="D32" i="201"/>
  <c r="I32" i="201" s="1"/>
  <c r="D30" i="201"/>
  <c r="I30" i="201" s="1"/>
  <c r="D28" i="201"/>
  <c r="D29" i="201"/>
  <c r="I29" i="201" s="1"/>
  <c r="D31" i="201"/>
  <c r="I31" i="201" s="1"/>
  <c r="E225" i="132"/>
  <c r="E271" i="132"/>
  <c r="E87" i="144"/>
  <c r="E33" i="144"/>
  <c r="E72" i="144"/>
  <c r="E29" i="144"/>
  <c r="G16" i="142"/>
  <c r="I16" i="142" s="1"/>
  <c r="E17" i="142" s="1"/>
  <c r="D35" i="201" l="1"/>
  <c r="I28" i="201"/>
  <c r="E226" i="132"/>
  <c r="E275" i="132"/>
  <c r="E40" i="144"/>
  <c r="E78" i="144"/>
  <c r="E89" i="144"/>
  <c r="H17" i="142"/>
  <c r="I35" i="201" l="1"/>
  <c r="K28" i="201"/>
  <c r="E230" i="132"/>
  <c r="E284" i="132"/>
  <c r="E91" i="144"/>
  <c r="G17" i="142"/>
  <c r="L28" i="201" l="1"/>
  <c r="M28" i="201"/>
  <c r="E239" i="132"/>
  <c r="E327" i="132"/>
  <c r="E93" i="144"/>
  <c r="I17" i="142"/>
  <c r="E18" i="142" s="1"/>
  <c r="H18" i="142" s="1"/>
  <c r="K29" i="201" l="1"/>
  <c r="L29" i="201"/>
  <c r="E12" i="140"/>
  <c r="E325" i="132"/>
  <c r="E33" i="133" s="1"/>
  <c r="G18" i="142"/>
  <c r="I18" i="142" s="1"/>
  <c r="E19" i="142" s="1"/>
  <c r="H19" i="142" s="1"/>
  <c r="G19" i="142" s="1"/>
  <c r="I19" i="142" s="1"/>
  <c r="E20" i="142" s="1"/>
  <c r="H20" i="142" s="1"/>
  <c r="G20" i="142" s="1"/>
  <c r="I20" i="142" s="1"/>
  <c r="E21" i="142" s="1"/>
  <c r="H21" i="142" s="1"/>
  <c r="G21" i="142" s="1"/>
  <c r="I21" i="142" s="1"/>
  <c r="E22" i="142" s="1"/>
  <c r="H22" i="142" s="1"/>
  <c r="G22" i="142" s="1"/>
  <c r="I22" i="142" s="1"/>
  <c r="E23" i="142" s="1"/>
  <c r="H23" i="142" s="1"/>
  <c r="G23" i="142" s="1"/>
  <c r="I23" i="142" s="1"/>
  <c r="E24" i="142" s="1"/>
  <c r="H24" i="142" s="1"/>
  <c r="G24" i="142" s="1"/>
  <c r="I24" i="142" s="1"/>
  <c r="E25" i="142" s="1"/>
  <c r="H25" i="142" s="1"/>
  <c r="G25" i="142" s="1"/>
  <c r="I25" i="142" s="1"/>
  <c r="E26" i="142" s="1"/>
  <c r="M29" i="201" l="1"/>
  <c r="G33" i="133"/>
  <c r="H33" i="133"/>
  <c r="E11" i="140"/>
  <c r="E13" i="140" s="1"/>
  <c r="D34" i="140" s="1"/>
  <c r="I34" i="140" s="1"/>
  <c r="H26" i="142"/>
  <c r="G26" i="142" s="1"/>
  <c r="I26" i="142" s="1"/>
  <c r="E27" i="142" s="1"/>
  <c r="K30" i="201" l="1"/>
  <c r="L30" i="201"/>
  <c r="M30" i="201" s="1"/>
  <c r="D31" i="140"/>
  <c r="I31" i="140" s="1"/>
  <c r="D26" i="140"/>
  <c r="I26" i="140" s="1"/>
  <c r="D25" i="140"/>
  <c r="I25" i="140" s="1"/>
  <c r="D27" i="140"/>
  <c r="I27" i="140" s="1"/>
  <c r="D30" i="140"/>
  <c r="I30" i="140" s="1"/>
  <c r="D32" i="140"/>
  <c r="I32" i="140" s="1"/>
  <c r="D24" i="140"/>
  <c r="I24" i="140" s="1"/>
  <c r="D28" i="140"/>
  <c r="I28" i="140" s="1"/>
  <c r="D29" i="140"/>
  <c r="I29" i="140" s="1"/>
  <c r="D23" i="140"/>
  <c r="I23" i="140" s="1"/>
  <c r="K23" i="140" s="1"/>
  <c r="D33" i="140"/>
  <c r="I33" i="140" s="1"/>
  <c r="H27" i="142"/>
  <c r="H28" i="142" s="1"/>
  <c r="K31" i="201" l="1"/>
  <c r="L31" i="201"/>
  <c r="I35" i="140"/>
  <c r="L23" i="140"/>
  <c r="M23" i="140" s="1"/>
  <c r="K24" i="140" s="1"/>
  <c r="L24" i="140" s="1"/>
  <c r="M24" i="140" s="1"/>
  <c r="K25" i="140" s="1"/>
  <c r="L25" i="140" s="1"/>
  <c r="M25" i="140" s="1"/>
  <c r="K26" i="140" s="1"/>
  <c r="L26" i="140" s="1"/>
  <c r="M26" i="140" s="1"/>
  <c r="D35" i="140"/>
  <c r="G27" i="142"/>
  <c r="I27" i="142" s="1"/>
  <c r="D31" i="142"/>
  <c r="E323" i="132" s="1"/>
  <c r="M31" i="201" l="1"/>
  <c r="K27" i="140"/>
  <c r="L27" i="140" s="1"/>
  <c r="M27" i="140" s="1"/>
  <c r="K32" i="201" l="1"/>
  <c r="L32" i="201"/>
  <c r="M32" i="201" s="1"/>
  <c r="K28" i="140"/>
  <c r="L28" i="140" s="1"/>
  <c r="M28" i="140" s="1"/>
  <c r="K29" i="140" s="1"/>
  <c r="L29" i="140" s="1"/>
  <c r="M29" i="140" s="1"/>
  <c r="K30" i="140" s="1"/>
  <c r="L30" i="140" s="1"/>
  <c r="M30" i="140" s="1"/>
  <c r="K33" i="201" l="1"/>
  <c r="L33" i="201"/>
  <c r="K31" i="140"/>
  <c r="L31" i="140" s="1"/>
  <c r="M31" i="140" s="1"/>
  <c r="M33" i="201" l="1"/>
  <c r="K34" i="201" s="1"/>
  <c r="K32" i="140"/>
  <c r="L32" i="140" s="1"/>
  <c r="L34" i="201" l="1"/>
  <c r="L35" i="201" s="1"/>
  <c r="M34" i="201"/>
  <c r="E321" i="132" s="1"/>
  <c r="M32" i="140"/>
  <c r="K33" i="140" l="1"/>
  <c r="L33" i="140" s="1"/>
  <c r="M33" i="140" s="1"/>
  <c r="K34" i="140" l="1"/>
  <c r="L34" i="140" s="1"/>
  <c r="L35" i="140" s="1"/>
  <c r="M34" i="140" l="1"/>
  <c r="D30" i="142" l="1"/>
  <c r="D32" i="142" s="1"/>
  <c r="E331" i="132" l="1"/>
  <c r="E334" i="132" l="1"/>
  <c r="E11" i="133"/>
  <c r="E333" i="132"/>
  <c r="E336" i="132" l="1"/>
  <c r="E23" i="133"/>
  <c r="E340" i="132" l="1"/>
  <c r="E29" i="133"/>
  <c r="H29" i="133" l="1"/>
  <c r="H37" i="133" s="1"/>
  <c r="E37" i="133"/>
  <c r="G29" i="133"/>
  <c r="G37" i="133" l="1"/>
  <c r="G38" i="133" s="1"/>
  <c r="H38" i="133"/>
  <c r="H39" i="133" l="1"/>
  <c r="E38" i="133"/>
  <c r="G39" i="133"/>
  <c r="H44" i="133" l="1"/>
  <c r="G44" i="133"/>
  <c r="E39" i="133"/>
  <c r="E44" i="133" l="1"/>
</calcChain>
</file>

<file path=xl/sharedStrings.xml><?xml version="1.0" encoding="utf-8"?>
<sst xmlns="http://schemas.openxmlformats.org/spreadsheetml/2006/main" count="6412" uniqueCount="2132">
  <si>
    <t>SAN DIEGO GAS &amp; ELECTRIC COMPANY</t>
  </si>
  <si>
    <t xml:space="preserve"> </t>
  </si>
  <si>
    <t>Statement BK-1</t>
  </si>
  <si>
    <r>
      <t xml:space="preserve">Derivation of End Use Prior Year Revenue Requirements (PYRR </t>
    </r>
    <r>
      <rPr>
        <b/>
        <vertAlign val="subscript"/>
        <sz val="12"/>
        <rFont val="Times New Roman"/>
        <family val="1"/>
      </rPr>
      <t>EU</t>
    </r>
    <r>
      <rPr>
        <b/>
        <sz val="12"/>
        <rFont val="Times New Roman"/>
        <family val="1"/>
      </rPr>
      <t>)</t>
    </r>
  </si>
  <si>
    <t>($1,000)</t>
  </si>
  <si>
    <t>Line</t>
  </si>
  <si>
    <t>No.</t>
  </si>
  <si>
    <t>Amounts</t>
  </si>
  <si>
    <t>Reference</t>
  </si>
  <si>
    <t>A. Revenues:</t>
  </si>
  <si>
    <t>Transmission Operation &amp; Maintenance Expense</t>
  </si>
  <si>
    <t>Transmission Related A&amp;G Expense</t>
  </si>
  <si>
    <t>CPUC Intervenor Funding Expense - Transmission</t>
  </si>
  <si>
    <t xml:space="preserve">     Total O&amp;M Expenses</t>
  </si>
  <si>
    <t>Sum Lines 1 thru 5</t>
  </si>
  <si>
    <t>Transmission, General, Common Plant Depn. Exp., and Electric Misc. Intangible Plant Amort. Exp.</t>
  </si>
  <si>
    <t>Statement AJ; Line 17</t>
  </si>
  <si>
    <r>
      <t xml:space="preserve">Transmission Plant Abandoned Project Cost Amortization Expense </t>
    </r>
    <r>
      <rPr>
        <b/>
        <vertAlign val="superscript"/>
        <sz val="12"/>
        <rFont val="Times New Roman"/>
        <family val="1"/>
      </rPr>
      <t>1</t>
    </r>
  </si>
  <si>
    <t>Statement AJ; Line 23</t>
  </si>
  <si>
    <t>Transmission Related Property Taxes Expense</t>
  </si>
  <si>
    <t>Transmission Related Payroll Taxes Expense</t>
  </si>
  <si>
    <t xml:space="preserve">     Sub-Total Expense</t>
  </si>
  <si>
    <t>Sum Lines 6 thru 14</t>
  </si>
  <si>
    <t>Transmission Rate Base</t>
  </si>
  <si>
    <t>Line 17 x Line 18</t>
  </si>
  <si>
    <t>Total of Federal Income Tax Deductions, Other Than Interest</t>
  </si>
  <si>
    <t>Statement AQ; Line 3</t>
  </si>
  <si>
    <t>Transmission Related Revenue Credits</t>
  </si>
  <si>
    <t>Statement AU; Line 13</t>
  </si>
  <si>
    <t>Transmission Related Regulatory Debits/Credits</t>
  </si>
  <si>
    <t>Statement Misc; Line 1</t>
  </si>
  <si>
    <t>(Gains)/Losses from Sale of Plant Held for Future Use</t>
  </si>
  <si>
    <t>Statement AU; Line 15</t>
  </si>
  <si>
    <t>Blank lines that show up in the Formula Rate Spreadsheet will not be populated with any numbers absent a Section 205 filing to approve the blank lines.</t>
  </si>
  <si>
    <r>
      <t>B. Incentive ROE Project Transmission Revenue:</t>
    </r>
    <r>
      <rPr>
        <b/>
        <sz val="12"/>
        <rFont val="Times New Roman"/>
        <family val="1"/>
      </rPr>
      <t xml:space="preserve"> </t>
    </r>
    <r>
      <rPr>
        <b/>
        <vertAlign val="superscript"/>
        <sz val="12"/>
        <rFont val="Times New Roman"/>
        <family val="1"/>
      </rPr>
      <t>1, 2</t>
    </r>
  </si>
  <si>
    <t>Incentive Transmission Plant Depreciation Expense</t>
  </si>
  <si>
    <t>Statement AJ; Line 19</t>
  </si>
  <si>
    <t>Line 7 x Line 8</t>
  </si>
  <si>
    <t xml:space="preserve">     Total Incentive ROE Project Transmission Revenue</t>
  </si>
  <si>
    <r>
      <t>C. Incentive Transmission Plant Abandoned Project Revenue:</t>
    </r>
    <r>
      <rPr>
        <b/>
        <sz val="12"/>
        <rFont val="Times New Roman"/>
        <family val="1"/>
      </rPr>
      <t xml:space="preserve"> </t>
    </r>
    <r>
      <rPr>
        <b/>
        <vertAlign val="superscript"/>
        <sz val="12"/>
        <rFont val="Times New Roman"/>
        <family val="1"/>
      </rPr>
      <t>1, 2</t>
    </r>
  </si>
  <si>
    <t>Incentive Transmission Plant Abandoned Project Cost Amortization Expense</t>
  </si>
  <si>
    <t>Statement AJ; Line 21</t>
  </si>
  <si>
    <t>Total Incentive Transmission Plant Abandoned Project Cost Rate Base</t>
  </si>
  <si>
    <t>Page 3; Line 37</t>
  </si>
  <si>
    <t>Shall be Zero</t>
  </si>
  <si>
    <t xml:space="preserve">     Total Incentive Transmission Plant Abandoned Project Revenue</t>
  </si>
  <si>
    <r>
      <t>D. Incentive Transmission Construction Work In Progress (CWIP) Revenue:</t>
    </r>
    <r>
      <rPr>
        <b/>
        <sz val="12"/>
        <rFont val="Times New Roman"/>
        <family val="1"/>
      </rPr>
      <t xml:space="preserve"> </t>
    </r>
    <r>
      <rPr>
        <b/>
        <vertAlign val="superscript"/>
        <sz val="12"/>
        <rFont val="Times New Roman"/>
        <family val="1"/>
      </rPr>
      <t>1, 2</t>
    </r>
  </si>
  <si>
    <t>Incentive Transmission Construction Work In Progress</t>
  </si>
  <si>
    <t>Page 3; Line 39</t>
  </si>
  <si>
    <t xml:space="preserve">     Total Incentive CWIP Revenue</t>
  </si>
  <si>
    <r>
      <t xml:space="preserve">     Total Incentive End of Prior Year Revenues (PYRR </t>
    </r>
    <r>
      <rPr>
        <vertAlign val="subscript"/>
        <sz val="12"/>
        <rFont val="Times New Roman"/>
        <family val="1"/>
      </rPr>
      <t>EU-IR</t>
    </r>
    <r>
      <rPr>
        <sz val="12"/>
        <rFont val="Times New Roman"/>
        <family val="1"/>
      </rPr>
      <t>) Excluding FF&amp;U</t>
    </r>
  </si>
  <si>
    <r>
      <t xml:space="preserve">E. Total (PYRR </t>
    </r>
    <r>
      <rPr>
        <b/>
        <u/>
        <vertAlign val="subscript"/>
        <sz val="12"/>
        <rFont val="Times New Roman"/>
        <family val="1"/>
      </rPr>
      <t>EU</t>
    </r>
    <r>
      <rPr>
        <b/>
        <u/>
        <sz val="12"/>
        <rFont val="Times New Roman"/>
        <family val="1"/>
      </rPr>
      <t>) Excluding FF&amp;U</t>
    </r>
    <r>
      <rPr>
        <b/>
        <sz val="12"/>
        <rFont val="Times New Roman"/>
        <family val="1"/>
      </rPr>
      <t xml:space="preserve"> </t>
    </r>
    <r>
      <rPr>
        <b/>
        <vertAlign val="superscript"/>
        <sz val="12"/>
        <rFont val="Times New Roman"/>
        <family val="1"/>
      </rPr>
      <t>3</t>
    </r>
  </si>
  <si>
    <t>The FERC approved incentives for each project will be tracked and shown separately by repeating the applicable lines. As a result, the data on this page may carryover to the next page.</t>
  </si>
  <si>
    <t>Total Prior Year Revenues (PYRR) or Base Period Revenue is for 12 months ending the applicable cycle base period.</t>
  </si>
  <si>
    <t>A. Transmission Rate Base:</t>
  </si>
  <si>
    <t>Net Transmission Plant:</t>
  </si>
  <si>
    <t>Transmission Plant</t>
  </si>
  <si>
    <t>Page 4; Line 16</t>
  </si>
  <si>
    <t>Transmission Related Electric Miscellaneous Intangible Plant</t>
  </si>
  <si>
    <t>Page 4; Line 17</t>
  </si>
  <si>
    <t>Transmission Related General Plant</t>
  </si>
  <si>
    <t>Page 4; Line 18</t>
  </si>
  <si>
    <t>Transmission Related Common Plant</t>
  </si>
  <si>
    <t>Page 4; Line 19</t>
  </si>
  <si>
    <t xml:space="preserve">     Total Net Transmission Plant</t>
  </si>
  <si>
    <t>Sum Lines 2 thru 5</t>
  </si>
  <si>
    <t>Rate Base Additions:</t>
  </si>
  <si>
    <t>Transmission Plant Held for Future Use</t>
  </si>
  <si>
    <t>Statement AG; Line 1</t>
  </si>
  <si>
    <t>Transmission Plant Abandoned Project Cost</t>
  </si>
  <si>
    <t>Statement Misc; Line 3</t>
  </si>
  <si>
    <t xml:space="preserve">     Total Rate Base Additions</t>
  </si>
  <si>
    <t>Line 9 + Line 10</t>
  </si>
  <si>
    <t>Rate Base Reductions:</t>
  </si>
  <si>
    <r>
      <t xml:space="preserve">Transmission Related Accum. Def. Inc. Taxes </t>
    </r>
    <r>
      <rPr>
        <b/>
        <vertAlign val="superscript"/>
        <sz val="12"/>
        <rFont val="Times New Roman"/>
        <family val="1"/>
      </rPr>
      <t>1</t>
    </r>
  </si>
  <si>
    <t>Statement AF; Line 7</t>
  </si>
  <si>
    <t>Transmission Plant Abandoned Accum. Def. Inc. Taxes</t>
  </si>
  <si>
    <t>Statement AF; Line 11</t>
  </si>
  <si>
    <t xml:space="preserve">     Total Rate Base Reductions</t>
  </si>
  <si>
    <t>Line 14 + Line 15</t>
  </si>
  <si>
    <t>Working Capital:</t>
  </si>
  <si>
    <t xml:space="preserve">Transmission Related Materials and Supplies </t>
  </si>
  <si>
    <t>Statement AL; Line 5</t>
  </si>
  <si>
    <t>Transmission Related Prepayments</t>
  </si>
  <si>
    <t>Transmission Related Cash Working Capital</t>
  </si>
  <si>
    <t xml:space="preserve">     Total Working Capital</t>
  </si>
  <si>
    <t>Sum Lines 19 thru 21</t>
  </si>
  <si>
    <t>Other Regulatory Assets/Liabilities</t>
  </si>
  <si>
    <t>Statement Misc; Line 5</t>
  </si>
  <si>
    <t>Unfunded Reserves</t>
  </si>
  <si>
    <t>Statement Misc; Line 7</t>
  </si>
  <si>
    <t xml:space="preserve">     Total Transmission Rate Base</t>
  </si>
  <si>
    <t>Sum Lines 6, 11, 16, 22, 24, 25</t>
  </si>
  <si>
    <r>
      <t>B. Incentive ROE Project Transmission Rate Base:</t>
    </r>
    <r>
      <rPr>
        <b/>
        <sz val="12"/>
        <rFont val="Times New Roman"/>
        <family val="1"/>
      </rPr>
      <t xml:space="preserve"> </t>
    </r>
    <r>
      <rPr>
        <b/>
        <vertAlign val="superscript"/>
        <sz val="12"/>
        <rFont val="Times New Roman"/>
        <family val="1"/>
      </rPr>
      <t>2</t>
    </r>
  </si>
  <si>
    <t>Net Incentive Transmission Plant</t>
  </si>
  <si>
    <t>Page 4; Line 25</t>
  </si>
  <si>
    <t xml:space="preserve">Incentive Transmission Plant Accum. Def. Income Taxes </t>
  </si>
  <si>
    <t>Statement AF; Line 9</t>
  </si>
  <si>
    <t xml:space="preserve">     Total Incentive ROE Project Transmission Rate Base</t>
  </si>
  <si>
    <t>Line 30 + Line 31</t>
  </si>
  <si>
    <r>
      <t>C. Incentive Transmission Plant Abandoned Project Rate Base:</t>
    </r>
    <r>
      <rPr>
        <b/>
        <vertAlign val="superscript"/>
        <sz val="12"/>
        <rFont val="Times New Roman"/>
        <family val="1"/>
      </rPr>
      <t xml:space="preserve"> 2</t>
    </r>
  </si>
  <si>
    <t>Incentive Transmission Plant Abandoned Project Cost</t>
  </si>
  <si>
    <t>Statement Misc; Line 9</t>
  </si>
  <si>
    <t>Incentive Transmission Plant Abandoned Project Cost Accum. Def. Inc. Taxes</t>
  </si>
  <si>
    <t>Statement AF; Line 13</t>
  </si>
  <si>
    <t xml:space="preserve">     Total Incentive Transmission Plant Abandoned Project Cost Rate Base</t>
  </si>
  <si>
    <t>Line 35 + Line 36</t>
  </si>
  <si>
    <r>
      <t>D. Incentive Transmission Construction Work In Progress</t>
    </r>
    <r>
      <rPr>
        <b/>
        <sz val="12"/>
        <rFont val="Times New Roman"/>
        <family val="1"/>
      </rPr>
      <t xml:space="preserve"> </t>
    </r>
    <r>
      <rPr>
        <b/>
        <vertAlign val="superscript"/>
        <sz val="12"/>
        <rFont val="Times New Roman"/>
        <family val="1"/>
      </rPr>
      <t>2</t>
    </r>
  </si>
  <si>
    <t>Statement AM; Line 1</t>
  </si>
  <si>
    <t xml:space="preserve">Represents Transmission Related Net ADIT (Liab)/Asset and Net (Excess)/Deficient ADIT. </t>
  </si>
  <si>
    <t>A. Transmission Plant:</t>
  </si>
  <si>
    <t>Gross Transmission Plant:</t>
  </si>
  <si>
    <t>Statement AD; Line 11</t>
  </si>
  <si>
    <t>Transmission Related Electric Misc. Intangible Plant</t>
  </si>
  <si>
    <t>Statement AD; Line 27</t>
  </si>
  <si>
    <t>Statement AD; Line 29</t>
  </si>
  <si>
    <t>Statement AD; Line 31</t>
  </si>
  <si>
    <t xml:space="preserve">     Total Gross Transmission Plant</t>
  </si>
  <si>
    <t>Transmission Related Depreciation Reserve:</t>
  </si>
  <si>
    <t xml:space="preserve">Transmission Plant Depreciation Reserve </t>
  </si>
  <si>
    <t>Statement AE; Line 1</t>
  </si>
  <si>
    <t>Transmission Related Electric Misc. Intangible Plant Amortization Reserve</t>
  </si>
  <si>
    <t>Statement AE; Line 11</t>
  </si>
  <si>
    <t>Transmission Related General Plant Depr Reserve</t>
  </si>
  <si>
    <t>Statement AE; Line 13</t>
  </si>
  <si>
    <t>Transmission Related Common Plant Depr Reserve</t>
  </si>
  <si>
    <t>Statement AE; Line 15</t>
  </si>
  <si>
    <t xml:space="preserve">     Total Transmission Related Depreciation Reserve</t>
  </si>
  <si>
    <t>Sum Lines 9 thru 12</t>
  </si>
  <si>
    <t>Sum Lines 16 thru 19</t>
  </si>
  <si>
    <r>
      <t>B. Incentive Project Transmission Plant:</t>
    </r>
    <r>
      <rPr>
        <b/>
        <sz val="12"/>
        <rFont val="Times New Roman"/>
        <family val="1"/>
      </rPr>
      <t xml:space="preserve"> </t>
    </r>
    <r>
      <rPr>
        <b/>
        <vertAlign val="superscript"/>
        <sz val="12"/>
        <rFont val="Times New Roman"/>
        <family val="1"/>
      </rPr>
      <t>1</t>
    </r>
  </si>
  <si>
    <t>Incentive Transmission Plant</t>
  </si>
  <si>
    <t>Statement AD; Line 13</t>
  </si>
  <si>
    <t>Incentive Transmission Plant Depreciation Reserve</t>
  </si>
  <si>
    <t>Statement AE; Line 19</t>
  </si>
  <si>
    <t xml:space="preserve">     Total Net Incentive Transmission Plant</t>
  </si>
  <si>
    <t>The Incentive ROE Transmission plant and depreciation reserve will be tracked and shown for each incentive project and lines 23 through 25 will be repeated for each project.</t>
  </si>
  <si>
    <t>ANNUAL FIXED CHARGES APPLICABLE TO CAPITAL PROJECTS</t>
  </si>
  <si>
    <r>
      <t xml:space="preserve">A.  Derivation of Annual Fix Charge Rate (AFCR </t>
    </r>
    <r>
      <rPr>
        <b/>
        <u/>
        <vertAlign val="subscript"/>
        <sz val="12"/>
        <rFont val="Times New Roman"/>
        <family val="1"/>
      </rPr>
      <t>EU</t>
    </r>
    <r>
      <rPr>
        <b/>
        <u/>
        <sz val="12"/>
        <rFont val="Times New Roman"/>
        <family val="1"/>
      </rPr>
      <t>) Applicable to</t>
    </r>
  </si>
  <si>
    <t>Weighted Forecast Plant Additions:</t>
  </si>
  <si>
    <r>
      <t xml:space="preserve">PYRR </t>
    </r>
    <r>
      <rPr>
        <vertAlign val="subscript"/>
        <sz val="12"/>
        <rFont val="Times New Roman"/>
        <family val="1"/>
      </rPr>
      <t>EU</t>
    </r>
    <r>
      <rPr>
        <sz val="12"/>
        <rFont val="Times New Roman"/>
        <family val="1"/>
      </rPr>
      <t xml:space="preserve"> Excluding Franchise Fees and Uncollectible</t>
    </r>
  </si>
  <si>
    <t>Negative of Page 1; Line 5</t>
  </si>
  <si>
    <r>
      <t xml:space="preserve">     Adjusted Total (PYRR</t>
    </r>
    <r>
      <rPr>
        <vertAlign val="subscript"/>
        <sz val="12"/>
        <rFont val="Times New Roman"/>
        <family val="1"/>
      </rPr>
      <t xml:space="preserve"> EU</t>
    </r>
    <r>
      <rPr>
        <sz val="12"/>
        <rFont val="Times New Roman"/>
        <family val="1"/>
      </rPr>
      <t xml:space="preserve">) Excluding FF&amp;U </t>
    </r>
  </si>
  <si>
    <t>Sum Lines 1 thru 6</t>
  </si>
  <si>
    <t>Net Transmission Plant</t>
  </si>
  <si>
    <r>
      <t xml:space="preserve">Annual Fix Charge Rate (AFCR </t>
    </r>
    <r>
      <rPr>
        <vertAlign val="subscript"/>
        <sz val="12"/>
        <rFont val="Times New Roman"/>
        <family val="1"/>
      </rPr>
      <t>EU</t>
    </r>
    <r>
      <rPr>
        <sz val="12"/>
        <rFont val="Times New Roman"/>
        <family val="1"/>
      </rPr>
      <t>)</t>
    </r>
  </si>
  <si>
    <t xml:space="preserve">Weighted Forecast Plant Additions </t>
  </si>
  <si>
    <t>Summary of HV/LV Splits for Forecast Plant Additions; Line 5; Col. f</t>
  </si>
  <si>
    <t>Composite Depreciation Rate</t>
  </si>
  <si>
    <t>Weighted Forecast Plant Additions Depreciation Expense</t>
  </si>
  <si>
    <t/>
  </si>
  <si>
    <t>Net Weighted Forecast Plant Additions</t>
  </si>
  <si>
    <t xml:space="preserve">     Forecast Period Capital Addition Revenue Requirements</t>
  </si>
  <si>
    <r>
      <t xml:space="preserve">A. Derivation of Annual Fix Charge Rate (AFCR </t>
    </r>
    <r>
      <rPr>
        <b/>
        <u/>
        <vertAlign val="subscript"/>
        <sz val="12"/>
        <rFont val="Times New Roman"/>
        <family val="1"/>
      </rPr>
      <t>EU-IR-ROE</t>
    </r>
    <r>
      <rPr>
        <b/>
        <u/>
        <sz val="12"/>
        <rFont val="Times New Roman"/>
        <family val="1"/>
      </rPr>
      <t>) Applicable to</t>
    </r>
  </si>
  <si>
    <t>Incentive Weighted Forecast Plant Additions (ROE Incentive Only):</t>
  </si>
  <si>
    <r>
      <t xml:space="preserve">PYRR </t>
    </r>
    <r>
      <rPr>
        <vertAlign val="subscript"/>
        <sz val="12"/>
        <rFont val="Times New Roman"/>
        <family val="1"/>
      </rPr>
      <t>EU-IR-ROE</t>
    </r>
    <r>
      <rPr>
        <sz val="12"/>
        <rFont val="Times New Roman"/>
        <family val="1"/>
      </rPr>
      <t xml:space="preserve"> Excluding Franchise Fees and Uncollectible</t>
    </r>
  </si>
  <si>
    <r>
      <t xml:space="preserve">     Adjusted Total (PYRR</t>
    </r>
    <r>
      <rPr>
        <vertAlign val="subscript"/>
        <sz val="12"/>
        <rFont val="Times New Roman"/>
        <family val="1"/>
      </rPr>
      <t xml:space="preserve"> EU-IR-ROE</t>
    </r>
    <r>
      <rPr>
        <sz val="12"/>
        <rFont val="Times New Roman"/>
        <family val="1"/>
      </rPr>
      <t xml:space="preserve">) Excluding FF&amp;U </t>
    </r>
  </si>
  <si>
    <t>Net Transmission Plant &amp; Incentive Transmission Plant</t>
  </si>
  <si>
    <t>Page 4; (Line 20 + Line 25)</t>
  </si>
  <si>
    <t xml:space="preserve">Incentive Weighted Forecast Plant Additions </t>
  </si>
  <si>
    <t>Summary of HV/LV Splits for Forecast Plant Additions; Line 8; Col. f</t>
  </si>
  <si>
    <r>
      <t xml:space="preserve">     Forecast Period Incentive Capital Addition Revenue Requirements (FC </t>
    </r>
    <r>
      <rPr>
        <vertAlign val="subscript"/>
        <sz val="12"/>
        <rFont val="Times New Roman"/>
        <family val="1"/>
      </rPr>
      <t>EU-IR-ROE</t>
    </r>
    <r>
      <rPr>
        <sz val="12"/>
        <rFont val="Times New Roman"/>
        <family val="1"/>
      </rPr>
      <t>)</t>
    </r>
  </si>
  <si>
    <t>B. Derivation of Incentive Forecast Transmission CWIP Revenues:</t>
  </si>
  <si>
    <t xml:space="preserve">Incentive Weighted Forecast Transmission Construction Work In Progress </t>
  </si>
  <si>
    <t>Summary of HV/LV Splits for Forecast Plant Additions; Line 10 + Line 12; Col. f</t>
  </si>
  <si>
    <t>The Incentive Annual Fixed Charge Rate will be tracked and shown for each incentive project as applicable.</t>
  </si>
  <si>
    <t>Interest True-Up CY; Line 22; Col. 2</t>
  </si>
  <si>
    <t>Forecast Period Capital Addition Revenue Requirements</t>
  </si>
  <si>
    <r>
      <t xml:space="preserve">Forecast Period Incentive Capital Additions Revenue Requirements (FC </t>
    </r>
    <r>
      <rPr>
        <vertAlign val="subscript"/>
        <sz val="12"/>
        <rFont val="Times New Roman"/>
        <family val="1"/>
      </rPr>
      <t>EU-IR-ROE</t>
    </r>
    <r>
      <rPr>
        <sz val="12"/>
        <rFont val="Times New Roman"/>
        <family val="1"/>
      </rPr>
      <t>)</t>
    </r>
  </si>
  <si>
    <t>Incentive Transmission Forecast CWIP Projects Revenue Requirements</t>
  </si>
  <si>
    <r>
      <t xml:space="preserve">B. Subtotal BTRR </t>
    </r>
    <r>
      <rPr>
        <b/>
        <u/>
        <vertAlign val="subscript"/>
        <sz val="12"/>
        <rFont val="Times New Roman"/>
        <family val="1"/>
      </rPr>
      <t>EU</t>
    </r>
    <r>
      <rPr>
        <b/>
        <u/>
        <sz val="12"/>
        <rFont val="Times New Roman"/>
        <family val="1"/>
      </rPr>
      <t xml:space="preserve"> Excluding FF&amp;U:</t>
    </r>
  </si>
  <si>
    <t>Sum Lines 2 thru 14</t>
  </si>
  <si>
    <t>Transmission Related Municipal Franchise Fees Expenses</t>
  </si>
  <si>
    <t>Line 16 x Franchise Fee Rate</t>
  </si>
  <si>
    <t>Transmission Related Uncollectible Expense</t>
  </si>
  <si>
    <t>Line 16 x Uncollectible Rate</t>
  </si>
  <si>
    <r>
      <t xml:space="preserve">D. Other BTRR </t>
    </r>
    <r>
      <rPr>
        <b/>
        <u/>
        <vertAlign val="subscript"/>
        <sz val="12"/>
        <rFont val="Times New Roman"/>
        <family val="1"/>
      </rPr>
      <t>EU</t>
    </r>
    <r>
      <rPr>
        <b/>
        <u/>
        <sz val="12"/>
        <rFont val="Times New Roman"/>
        <family val="1"/>
      </rPr>
      <t xml:space="preserve"> Adjustments:</t>
    </r>
  </si>
  <si>
    <t>Cost Adjustment Workpapers</t>
  </si>
  <si>
    <t>Statement BK-2</t>
  </si>
  <si>
    <r>
      <t xml:space="preserve">Derivation of CAISO HV Transmission Facility (BTRR </t>
    </r>
    <r>
      <rPr>
        <b/>
        <vertAlign val="subscript"/>
        <sz val="12"/>
        <rFont val="Times New Roman"/>
        <family val="1"/>
      </rPr>
      <t>CAISO-HV</t>
    </r>
    <r>
      <rPr>
        <b/>
        <sz val="12"/>
        <rFont val="Times New Roman"/>
        <family val="1"/>
      </rPr>
      <t xml:space="preserve">) &amp; LV Transmission Facility (BTRR </t>
    </r>
    <r>
      <rPr>
        <b/>
        <vertAlign val="subscript"/>
        <sz val="12"/>
        <rFont val="Times New Roman"/>
        <family val="1"/>
      </rPr>
      <t>CAISO- LV</t>
    </r>
    <r>
      <rPr>
        <b/>
        <sz val="12"/>
        <rFont val="Times New Roman"/>
        <family val="1"/>
      </rPr>
      <t>) Revenue Requirements</t>
    </r>
  </si>
  <si>
    <t>Total</t>
  </si>
  <si>
    <t>Statement BK-1; Page 7; Line 16</t>
  </si>
  <si>
    <t>Less: CPUC Intervenor Funding Expense - Transmission</t>
  </si>
  <si>
    <t>Negative of Statement BK-1; Page 1; Line 5</t>
  </si>
  <si>
    <t>Less: South Georgia Income Tax Adjustment</t>
  </si>
  <si>
    <t>Negative of Statement AQ; Line 1</t>
  </si>
  <si>
    <r>
      <t>B. Derivation of Split Between HV and LV:</t>
    </r>
    <r>
      <rPr>
        <b/>
        <sz val="12"/>
        <rFont val="Times New Roman"/>
        <family val="1"/>
      </rPr>
      <t xml:space="preserve"> </t>
    </r>
    <r>
      <rPr>
        <b/>
        <vertAlign val="superscript"/>
        <sz val="12"/>
        <rFont val="Times New Roman"/>
        <family val="1"/>
      </rPr>
      <t>1</t>
    </r>
  </si>
  <si>
    <t>(a)</t>
  </si>
  <si>
    <t>(b)</t>
  </si>
  <si>
    <t>(c)</t>
  </si>
  <si>
    <t xml:space="preserve">1. Percent Split Between HV &amp; LV for Recorded Non-Incentive &amp; Incentive </t>
  </si>
  <si>
    <t>High Voltage</t>
  </si>
  <si>
    <t>Low Voltage</t>
  </si>
  <si>
    <t xml:space="preserve">    Gross Transmission Plant Facilities and Incentive CWIP:</t>
  </si>
  <si>
    <t xml:space="preserve">    HV/LV Plant Allocation Ratios</t>
  </si>
  <si>
    <t xml:space="preserve">    Total HV/LV Transmission Plant Facilities Revenues </t>
  </si>
  <si>
    <t>2. Percent Split Between HV &amp; LV Forecast Plant Additions:</t>
  </si>
  <si>
    <t xml:space="preserve">    HV/LV Plant Allocation Ratios Based on Forecast Plant Additions</t>
  </si>
  <si>
    <t>Summary of HV/LV Splits for Forecast Plant Additions; Line 19; Col. d and e</t>
  </si>
  <si>
    <t>Col. a = Statement BK-1; Page 7; 
Sum Lines 10 thru 14</t>
  </si>
  <si>
    <t>C. Summary of CAISO Transmission Facilities by</t>
  </si>
  <si>
    <t xml:space="preserve"> High Voltage and Low Voltage Classification:</t>
  </si>
  <si>
    <r>
      <t xml:space="preserve">Transmission Facilities (BTRR </t>
    </r>
    <r>
      <rPr>
        <vertAlign val="subscript"/>
        <sz val="12"/>
        <rFont val="Times New Roman"/>
        <family val="1"/>
      </rPr>
      <t>CAISO</t>
    </r>
    <r>
      <rPr>
        <sz val="12"/>
        <rFont val="Times New Roman"/>
        <family val="1"/>
      </rPr>
      <t>) Excluding Franchise Fees</t>
    </r>
  </si>
  <si>
    <r>
      <t xml:space="preserve">Franchise Fee </t>
    </r>
    <r>
      <rPr>
        <b/>
        <vertAlign val="superscript"/>
        <sz val="12"/>
        <rFont val="Times New Roman"/>
        <family val="1"/>
      </rPr>
      <t>2</t>
    </r>
  </si>
  <si>
    <t>D. Other BTRR Adjustments with Franchise Fees</t>
  </si>
  <si>
    <t>Col. a = Cost Adjustment Workpapers</t>
  </si>
  <si>
    <t>SDG&amp;E has followed the CAISO's guidelines to separate all elements of its Transmission facilities into HV and LV components as outlined in Appendix F; Schedule 3; Section 12 of the CAISO tariff.</t>
  </si>
  <si>
    <t xml:space="preserve">Base franchise fees are applicable to all SDG&amp;E customers. </t>
  </si>
  <si>
    <t>Statement AD</t>
  </si>
  <si>
    <t>Cost of Plant</t>
  </si>
  <si>
    <t>FERC Form 1</t>
  </si>
  <si>
    <t>(c) = [(a)+(b)]/2</t>
  </si>
  <si>
    <t>Page; Line; Col.</t>
  </si>
  <si>
    <t>Average Balance</t>
  </si>
  <si>
    <r>
      <t xml:space="preserve">Total Steam Production Plant </t>
    </r>
    <r>
      <rPr>
        <b/>
        <vertAlign val="superscript"/>
        <sz val="12"/>
        <rFont val="Times New Roman"/>
        <family val="1"/>
      </rPr>
      <t>1,3</t>
    </r>
  </si>
  <si>
    <t>204-207; Footnote Data (a)</t>
  </si>
  <si>
    <t>AD-1; Line 18</t>
  </si>
  <si>
    <r>
      <t xml:space="preserve">Total Nuclear Production Plant </t>
    </r>
    <r>
      <rPr>
        <b/>
        <vertAlign val="superscript"/>
        <sz val="12"/>
        <rFont val="Times New Roman"/>
        <family val="1"/>
      </rPr>
      <t>1,3</t>
    </r>
  </si>
  <si>
    <t>AD-2; Line 18</t>
  </si>
  <si>
    <r>
      <t xml:space="preserve">Total Hydraulic Production Plant </t>
    </r>
    <r>
      <rPr>
        <b/>
        <vertAlign val="superscript"/>
        <sz val="12"/>
        <rFont val="Times New Roman"/>
        <family val="1"/>
      </rPr>
      <t>1,3</t>
    </r>
  </si>
  <si>
    <t>AD-3; Line 18</t>
  </si>
  <si>
    <r>
      <t xml:space="preserve">Total Other Production Plant </t>
    </r>
    <r>
      <rPr>
        <b/>
        <vertAlign val="superscript"/>
        <sz val="12"/>
        <rFont val="Times New Roman"/>
        <family val="1"/>
      </rPr>
      <t>1,3</t>
    </r>
  </si>
  <si>
    <t>AD-4; Line 18</t>
  </si>
  <si>
    <r>
      <t xml:space="preserve">Total Distribution Plant </t>
    </r>
    <r>
      <rPr>
        <b/>
        <vertAlign val="superscript"/>
        <sz val="12"/>
        <rFont val="Times New Roman"/>
        <family val="1"/>
      </rPr>
      <t>2,3</t>
    </r>
  </si>
  <si>
    <t>204-207; Footnote Data (a); BOY and EOY</t>
  </si>
  <si>
    <t>AD-5; Line 6</t>
  </si>
  <si>
    <r>
      <t xml:space="preserve">Transmission Plant </t>
    </r>
    <r>
      <rPr>
        <b/>
        <vertAlign val="superscript"/>
        <sz val="12"/>
        <rFont val="Times New Roman"/>
        <family val="1"/>
      </rPr>
      <t>1, 3</t>
    </r>
  </si>
  <si>
    <t>AD-6; Line 18</t>
  </si>
  <si>
    <r>
      <t xml:space="preserve">Incentive Transmission Plant </t>
    </r>
    <r>
      <rPr>
        <b/>
        <vertAlign val="superscript"/>
        <sz val="12"/>
        <rFont val="Times New Roman"/>
        <family val="1"/>
      </rPr>
      <t>1</t>
    </r>
  </si>
  <si>
    <t>AD-7; Line 18</t>
  </si>
  <si>
    <r>
      <t>Total Electric Miscellaneous Intangible Plant</t>
    </r>
    <r>
      <rPr>
        <b/>
        <sz val="12"/>
        <rFont val="Times New Roman"/>
        <family val="1"/>
      </rPr>
      <t xml:space="preserve"> </t>
    </r>
    <r>
      <rPr>
        <b/>
        <vertAlign val="superscript"/>
        <sz val="12"/>
        <rFont val="Times New Roman"/>
        <family val="1"/>
      </rPr>
      <t>2, 4</t>
    </r>
  </si>
  <si>
    <t>AD-8; Line 6</t>
  </si>
  <si>
    <r>
      <t>Total General Plant</t>
    </r>
    <r>
      <rPr>
        <b/>
        <sz val="12"/>
        <rFont val="Times New Roman"/>
        <family val="1"/>
      </rPr>
      <t xml:space="preserve"> </t>
    </r>
    <r>
      <rPr>
        <b/>
        <vertAlign val="superscript"/>
        <sz val="12"/>
        <rFont val="Times New Roman"/>
        <family val="1"/>
      </rPr>
      <t>2, 4</t>
    </r>
  </si>
  <si>
    <t>AD-9; Line 6</t>
  </si>
  <si>
    <r>
      <t xml:space="preserve">Total Common Plant </t>
    </r>
    <r>
      <rPr>
        <b/>
        <vertAlign val="superscript"/>
        <sz val="12"/>
        <rFont val="Times New Roman"/>
        <family val="1"/>
      </rPr>
      <t>2, 4</t>
    </r>
  </si>
  <si>
    <t>AD-10; Line 10</t>
  </si>
  <si>
    <t xml:space="preserve">     Total Plant in Service </t>
  </si>
  <si>
    <t>Sum Lines 1 thru 19</t>
  </si>
  <si>
    <t>Transmission Wages and Salaries Allocation Factor</t>
  </si>
  <si>
    <t>Statement AI; Line 15</t>
  </si>
  <si>
    <t>Total Transmission Plant &amp; Incentive Transmission Plant</t>
  </si>
  <si>
    <t>Line 11 + Line 13</t>
  </si>
  <si>
    <t>Line 15 x Line 23</t>
  </si>
  <si>
    <t>Line 17 x Line 23</t>
  </si>
  <si>
    <t xml:space="preserve">Transmission Related Common Plant </t>
  </si>
  <si>
    <t>Line 19 x Line 23</t>
  </si>
  <si>
    <t xml:space="preserve">     Transmission Related Total Plant in Service </t>
  </si>
  <si>
    <t>Sum Lines 25 thru 31</t>
  </si>
  <si>
    <r>
      <t>Transmission Plant Allocation Factor</t>
    </r>
    <r>
      <rPr>
        <b/>
        <vertAlign val="superscript"/>
        <sz val="12"/>
        <rFont val="Times New Roman"/>
        <family val="1"/>
      </rPr>
      <t xml:space="preserve">  5</t>
    </r>
  </si>
  <si>
    <t>Line 33 / Line 21</t>
  </si>
  <si>
    <t>The balances for Steam, Nuclear, Hydraulic, Other Production, Transmission, and Incentive Transmission plant are derived based on a 13-month average balance.</t>
  </si>
  <si>
    <t>The balances for Electric Miscellaneous Intangible, Distribution, General and Common plant are derived based on a simple average balance using beginning and ending year balances.</t>
  </si>
  <si>
    <t>The amounts stated above are ratemaking utility plant in service and a result of implementing the “Seven-Element Adjustment Factor” which reflects transfers between core electric functional areas.</t>
  </si>
  <si>
    <t>Not affected by the "Seven-Element Adjustment Factor".</t>
  </si>
  <si>
    <t>Used to allocate all elements of working capital, other than working cash.</t>
  </si>
  <si>
    <t>STATEMENT AD</t>
  </si>
  <si>
    <t>COST OF PLANT</t>
  </si>
  <si>
    <t>STEAM PRODUCTION</t>
  </si>
  <si>
    <t>Steam</t>
  </si>
  <si>
    <t>Production</t>
  </si>
  <si>
    <t>Month</t>
  </si>
  <si>
    <t>Per Book</t>
  </si>
  <si>
    <r>
      <t>Ratemaking</t>
    </r>
    <r>
      <rPr>
        <b/>
        <vertAlign val="superscript"/>
        <sz val="12"/>
        <rFont val="Times New Roman"/>
        <family val="1"/>
      </rPr>
      <t xml:space="preserve"> 1</t>
    </r>
  </si>
  <si>
    <t>SDG&amp;E Records</t>
  </si>
  <si>
    <t xml:space="preserve">Form 1; Page 204-207; Footnote Data (a); BOY </t>
  </si>
  <si>
    <t>Feb</t>
  </si>
  <si>
    <t>Mar</t>
  </si>
  <si>
    <t>Apr</t>
  </si>
  <si>
    <t>May</t>
  </si>
  <si>
    <t>Jun</t>
  </si>
  <si>
    <t>Jul</t>
  </si>
  <si>
    <t>Aug</t>
  </si>
  <si>
    <t>Sep</t>
  </si>
  <si>
    <t>Oct</t>
  </si>
  <si>
    <t>Nov</t>
  </si>
  <si>
    <t xml:space="preserve">Form 1; Page 204-207; Footnote Data (a); EOY </t>
  </si>
  <si>
    <t>Total 13 Months</t>
  </si>
  <si>
    <t>Sum Lines 1 thru 13</t>
  </si>
  <si>
    <t>13-Month Average Balance</t>
  </si>
  <si>
    <t>Average of Lines 1 thru 13</t>
  </si>
  <si>
    <t>Form 1; Page 204-207; Footnote Data (a)</t>
  </si>
  <si>
    <t>This column represents the monthly ratemaking plant balances for the base &amp; true-up periods. These plant balances reflect the amounts shifted between functions (Transmission to</t>
  </si>
  <si>
    <t>Distribution, Transmission to Generation, Distribution to Transmission, etc.) as required by FERC Order 888: Seven-Element Adjustment Factor.</t>
  </si>
  <si>
    <t>NUCLEAR PRODUCTION</t>
  </si>
  <si>
    <t>Nuclear</t>
  </si>
  <si>
    <t>HYDRAULIC PRODUCTION PLANT</t>
  </si>
  <si>
    <t>Hydraulic</t>
  </si>
  <si>
    <t>OTHER PRODUCTION</t>
  </si>
  <si>
    <t>Other</t>
  </si>
  <si>
    <t>DISTRIBUTION PLANT</t>
  </si>
  <si>
    <t>Distribution</t>
  </si>
  <si>
    <t>Plant</t>
  </si>
  <si>
    <t>Beginning and End Period Average</t>
  </si>
  <si>
    <t>Average of Line 1 and Line 3</t>
  </si>
  <si>
    <t>TRANSMISSION PLANT</t>
  </si>
  <si>
    <t>Transmission</t>
  </si>
  <si>
    <t>TRANSMISSION FUNCTIONALIZATION STUDY</t>
  </si>
  <si>
    <t>DERIVATION OF TRANSMISSION RELATED PLANT DOLLARS</t>
  </si>
  <si>
    <t>(1)</t>
  </si>
  <si>
    <t>(2)</t>
  </si>
  <si>
    <t>(3)</t>
  </si>
  <si>
    <t>(4)</t>
  </si>
  <si>
    <t>(5)</t>
  </si>
  <si>
    <t>(6)</t>
  </si>
  <si>
    <t>(7)</t>
  </si>
  <si>
    <t>(8)</t>
  </si>
  <si>
    <t>Generation</t>
  </si>
  <si>
    <t>Account 101</t>
  </si>
  <si>
    <t>Plant Reclass</t>
  </si>
  <si>
    <t>Adjusted Book</t>
  </si>
  <si>
    <t>Account</t>
  </si>
  <si>
    <t>Description</t>
  </si>
  <si>
    <t>as Transmission</t>
  </si>
  <si>
    <t>to Transmission</t>
  </si>
  <si>
    <t>Steam Prod.</t>
  </si>
  <si>
    <t>Other Prod.</t>
  </si>
  <si>
    <t>as Distribution</t>
  </si>
  <si>
    <t>SUM 1:7</t>
  </si>
  <si>
    <t>Production Related to Trans</t>
  </si>
  <si>
    <t>Intangibles</t>
  </si>
  <si>
    <t>Land</t>
  </si>
  <si>
    <t>Land &amp; Land Rights</t>
  </si>
  <si>
    <t>Structures &amp; Improvements</t>
  </si>
  <si>
    <t>TOTAL</t>
  </si>
  <si>
    <t>TRANSMISSION RELATED</t>
  </si>
  <si>
    <t>Station Equipment</t>
  </si>
  <si>
    <t>Towers and Fixtures</t>
  </si>
  <si>
    <t>Poles and Fixtures</t>
  </si>
  <si>
    <t>OH Conductors and Device</t>
  </si>
  <si>
    <t>Underground Conduit</t>
  </si>
  <si>
    <t>UG Conductors &amp; Devices</t>
  </si>
  <si>
    <t>Roads &amp; Trails</t>
  </si>
  <si>
    <t>GRAND TOTAL RECLASS TRANS PLANT</t>
  </si>
  <si>
    <t>These represent plant transfers to comply with FERC Order No. 888 and reflect the adjusted Transmission plant balances.</t>
  </si>
  <si>
    <t>INCENTIVE TRANSMISSION PLANT</t>
  </si>
  <si>
    <t>Incentive</t>
  </si>
  <si>
    <t xml:space="preserve">Transmission </t>
  </si>
  <si>
    <t>Ratemaking</t>
  </si>
  <si>
    <t>ELECTRIC MISCELLANEOUS INTANGIBLE PLANT</t>
  </si>
  <si>
    <t>Adjusted FERC</t>
  </si>
  <si>
    <t>Intangible Plant</t>
  </si>
  <si>
    <t>Balance</t>
  </si>
  <si>
    <t>GENERAL PLANT</t>
  </si>
  <si>
    <t>General Plant</t>
  </si>
  <si>
    <t>COMMON PLANT</t>
  </si>
  <si>
    <t>Total Common Plant Per Book</t>
  </si>
  <si>
    <t>Form 1; Page 356; Accts 303 to 398; BOY</t>
  </si>
  <si>
    <t>Electric Split of Common Utility Plant</t>
  </si>
  <si>
    <t>Form 1; Page 356; Electric</t>
  </si>
  <si>
    <t>Total Common Plant to Electric Per Book</t>
  </si>
  <si>
    <t>Line 1 x Line 2</t>
  </si>
  <si>
    <t>Form 1; Page 356; Accts 303 to 398; EOY</t>
  </si>
  <si>
    <t>Line 5 x Line 6</t>
  </si>
  <si>
    <t>Average of Line 3 and Line 7</t>
  </si>
  <si>
    <t>Statement AE</t>
  </si>
  <si>
    <t>Accumulated Depreciation and Amortization</t>
  </si>
  <si>
    <r>
      <t xml:space="preserve">Transmission Plant Depreciation Reserve </t>
    </r>
    <r>
      <rPr>
        <b/>
        <vertAlign val="superscript"/>
        <sz val="12"/>
        <rFont val="Times New Roman"/>
        <family val="1"/>
      </rPr>
      <t>1, 3</t>
    </r>
  </si>
  <si>
    <t>200-201; Footnote Data (b)</t>
  </si>
  <si>
    <t>AE-1; Line 18</t>
  </si>
  <si>
    <r>
      <t xml:space="preserve">Electric Misc. Intangible Plant Amortization Reserve </t>
    </r>
    <r>
      <rPr>
        <b/>
        <vertAlign val="superscript"/>
        <sz val="12"/>
        <rFont val="Times New Roman"/>
        <family val="1"/>
      </rPr>
      <t>2, 4</t>
    </r>
  </si>
  <si>
    <t>AE-2; Line 6</t>
  </si>
  <si>
    <r>
      <t xml:space="preserve">General Plant Depreciation Reserve </t>
    </r>
    <r>
      <rPr>
        <b/>
        <vertAlign val="superscript"/>
        <sz val="12"/>
        <rFont val="Times New Roman"/>
        <family val="1"/>
      </rPr>
      <t>2, 4</t>
    </r>
  </si>
  <si>
    <t>AE-3; Line 6</t>
  </si>
  <si>
    <r>
      <t xml:space="preserve">Common Plant Depreciation Reserve </t>
    </r>
    <r>
      <rPr>
        <b/>
        <vertAlign val="superscript"/>
        <sz val="12"/>
        <rFont val="Times New Roman"/>
        <family val="1"/>
      </rPr>
      <t>2, 4</t>
    </r>
  </si>
  <si>
    <t>AE-4; Line 10</t>
  </si>
  <si>
    <t>Line 3 x Line 9</t>
  </si>
  <si>
    <t>Transmission Related General Plant Depreciation Reserve</t>
  </si>
  <si>
    <t>Line 5 x Line 9</t>
  </si>
  <si>
    <t>Transmission Related Common Plant Depreciation Reserve</t>
  </si>
  <si>
    <t>Line 7 x Line 9</t>
  </si>
  <si>
    <t>Line 1 + (Sum Lines 11 thru 15)</t>
  </si>
  <si>
    <r>
      <t xml:space="preserve">Incentive Transmission Plant Depreciation Reserve </t>
    </r>
    <r>
      <rPr>
        <b/>
        <vertAlign val="superscript"/>
        <sz val="12"/>
        <rFont val="Times New Roman"/>
        <family val="1"/>
      </rPr>
      <t>1</t>
    </r>
  </si>
  <si>
    <t>AE-5; Line 18</t>
  </si>
  <si>
    <t>The depreciation reserve for Transmission and Incentive Transmission plant is derived based on a 13-month average balance.</t>
  </si>
  <si>
    <t>The depreciation reserve for Electric Miscellaneous Intangible, General, and Common plant is derived based on a simple average of beginning and end of year balances.</t>
  </si>
  <si>
    <t>The amounts stated above are ratemaking utility plant in service and a result of implementing the "Seven-Element Adjustment Factor" which reflects transfers between core electric functional areas.</t>
  </si>
  <si>
    <t>STATEMENT AE</t>
  </si>
  <si>
    <t>ACCUMULATED DEPRECIATION AND AMORTIZATION</t>
  </si>
  <si>
    <t>Reserves</t>
  </si>
  <si>
    <t>This column represents the monthly ratemaking depreciation reserve balances for the base &amp; true-up periods. These depreciation reserve balances reflect the amounts shifted between</t>
  </si>
  <si>
    <t>functions (Transmission to Distribution, Transmission to Generation, Distribution to Transmission, etc.) as required by FERC Order 888: Seven-Element Adjustment Factor.</t>
  </si>
  <si>
    <t xml:space="preserve">DERIVATION OF TRANSMISSION RELATED </t>
  </si>
  <si>
    <t>Account 108</t>
  </si>
  <si>
    <t>Reserves Reclass</t>
  </si>
  <si>
    <t>as Steam Prod.</t>
  </si>
  <si>
    <t>as Other Prod.</t>
  </si>
  <si>
    <t>as Nuclear</t>
  </si>
  <si>
    <t>These represent plant transfers to comply with FERC Order No. 888 and reflect the adjusted plant accumulated depreciation and amortization balances.</t>
  </si>
  <si>
    <t>Intangible Reserve</t>
  </si>
  <si>
    <t>General Reserve</t>
  </si>
  <si>
    <t>Total Common Reserves to Electric Per Book</t>
  </si>
  <si>
    <t>DEPRECIATION RESERVE</t>
  </si>
  <si>
    <t>Total Incentive</t>
  </si>
  <si>
    <t>Statement AF</t>
  </si>
  <si>
    <t>Deferred Credits</t>
  </si>
  <si>
    <t>FERC Account 190</t>
  </si>
  <si>
    <t xml:space="preserve">234; Footnote Data (c) and (d) </t>
  </si>
  <si>
    <t>AF-1 and AF-2; Line 7; Col. d</t>
  </si>
  <si>
    <t>FERC Account 282</t>
  </si>
  <si>
    <t xml:space="preserve">274-275; Footnote Data (a) and (b) </t>
  </si>
  <si>
    <t>AF-1 and AF-2; Line 14; Col. d</t>
  </si>
  <si>
    <t>FERC Account 283</t>
  </si>
  <si>
    <t xml:space="preserve">276-277; Footnote Data (a) and (b) </t>
  </si>
  <si>
    <t>AF-1 and AF-2; Line 22; Col. d</t>
  </si>
  <si>
    <r>
      <t xml:space="preserve">     Total Transmission Related ADIT</t>
    </r>
    <r>
      <rPr>
        <b/>
        <vertAlign val="superscript"/>
        <sz val="12"/>
        <rFont val="Times New Roman"/>
        <family val="1"/>
      </rPr>
      <t xml:space="preserve"> 1, 2</t>
    </r>
  </si>
  <si>
    <t>Incentive Transmission Plant ADIT</t>
  </si>
  <si>
    <t>AF-3; Line 1; Col. c</t>
  </si>
  <si>
    <t>Transmission Plant Abandoned ADIT</t>
  </si>
  <si>
    <t>AF-3; Line 3, Col. c</t>
  </si>
  <si>
    <t>Incentive Transmission Plant Abandoned Project Cost ADIT</t>
  </si>
  <si>
    <t>AF-3; Line 5; Col. c</t>
  </si>
  <si>
    <t>The allocated general and common accumulated deferred income taxes are included in the total transmission related accumulated deferred income taxes. See FERC Form 1; Page 274-275; Footnote Data (a) and (b)</t>
  </si>
  <si>
    <t xml:space="preserve">STATEMENT AF </t>
  </si>
  <si>
    <t>ACCUMULATED DEFERRED INCOME TAXES - ELECTRIC TRANSMISSION</t>
  </si>
  <si>
    <t>(d) = [Sum (a) thru (c)]</t>
  </si>
  <si>
    <t xml:space="preserve">Remeasured </t>
  </si>
  <si>
    <r>
      <t xml:space="preserve">Deficient Reserve </t>
    </r>
    <r>
      <rPr>
        <b/>
        <vertAlign val="superscript"/>
        <sz val="12"/>
        <rFont val="Times New Roman"/>
        <family val="1"/>
      </rPr>
      <t>1, 2</t>
    </r>
  </si>
  <si>
    <r>
      <t xml:space="preserve">(Excess) Reserve </t>
    </r>
    <r>
      <rPr>
        <b/>
        <vertAlign val="superscript"/>
        <sz val="12"/>
        <rFont val="Times New Roman"/>
        <family val="1"/>
      </rPr>
      <t>1, 3</t>
    </r>
  </si>
  <si>
    <t>Amount</t>
  </si>
  <si>
    <t>Account 182.3</t>
  </si>
  <si>
    <t>Account 254</t>
  </si>
  <si>
    <t>Account 190</t>
  </si>
  <si>
    <t xml:space="preserve">   Non-Property Related</t>
  </si>
  <si>
    <t xml:space="preserve">   Property Related</t>
  </si>
  <si>
    <t xml:space="preserve">     Total of Account 190</t>
  </si>
  <si>
    <t>Sum Lines 2 thru 6</t>
  </si>
  <si>
    <t>Account 282</t>
  </si>
  <si>
    <t xml:space="preserve">     Total of Account 282</t>
  </si>
  <si>
    <t>Sum Lines 10 thru 13</t>
  </si>
  <si>
    <t>Account 283</t>
  </si>
  <si>
    <t xml:space="preserve">     Total of Account 283</t>
  </si>
  <si>
    <t>Sum Lines 17 thru 21</t>
  </si>
  <si>
    <r>
      <t xml:space="preserve">Total ADIT </t>
    </r>
    <r>
      <rPr>
        <b/>
        <vertAlign val="superscript"/>
        <sz val="12"/>
        <rFont val="Times New Roman"/>
        <family val="1"/>
      </rPr>
      <t>4</t>
    </r>
  </si>
  <si>
    <t>Line 7 + Line 14 + Line 22</t>
  </si>
  <si>
    <t>FERC Order No. 864 worksheets are included in this formula rate spreadsheet to report all components of (excess)/deficient ADIT resulting from a change in tax rate.</t>
  </si>
  <si>
    <t>Deficient amounts reported in column (b) are sourced from Order 864-1; Col. 12. Total ADIT calculated on Line 24; column (b) agrees to the Grand Total calculated Order 864-1; Line 32; Col. 12.</t>
  </si>
  <si>
    <t>(Excess) amounts reported in column (c) are sourced from Order 864-1; Col. 13. Total ADIT calculated on Line 24; column (c) agrees to the Grand Total calculated on Order 864-1; Line 32; Col. 13.</t>
  </si>
  <si>
    <t>Deficient amounts reported in column (b) are sourced from Order 864-3; Col. 12. Total ADIT calculated on Line 24; column (b) agrees to the Grand Total calculated Order 864-3; Line 32; Col. 12.</t>
  </si>
  <si>
    <t>(Excess) amounts reported in column (c) are sourced from Order 864-3; Col. 13. Total ADIT calculated on Line 24; column (c) agrees to the Grand Total calculated on Order 864-3; Line 32; Col. 13.</t>
  </si>
  <si>
    <t>DEFERRED CREDITS</t>
  </si>
  <si>
    <t>Statement AG</t>
  </si>
  <si>
    <t>Specified Plant Account (Other than Plant in Service) and Deferred Debits</t>
  </si>
  <si>
    <r>
      <t xml:space="preserve">Transmission Plant Held for Future Use </t>
    </r>
    <r>
      <rPr>
        <b/>
        <vertAlign val="superscript"/>
        <sz val="12"/>
        <rFont val="Times New Roman"/>
        <family val="1"/>
      </rPr>
      <t>1</t>
    </r>
  </si>
  <si>
    <t>AG-1; Line 18</t>
  </si>
  <si>
    <t>1</t>
  </si>
  <si>
    <t xml:space="preserve">The balances for Transmission Plant Held for Future Use are derived based on a 13-month average balance. </t>
  </si>
  <si>
    <t>STATEMENT AG</t>
  </si>
  <si>
    <t>SPECIFIED PLANT ACCOUNTS (OTHER THAN PLANT IN SERVICE)</t>
  </si>
  <si>
    <t>AND DEFERRED DEBITS</t>
  </si>
  <si>
    <t>Plant Held for</t>
  </si>
  <si>
    <t>Future Use</t>
  </si>
  <si>
    <t>13-Month Average</t>
  </si>
  <si>
    <t>(c) = (a)+(b)</t>
  </si>
  <si>
    <t>FERC</t>
  </si>
  <si>
    <t>CPUC</t>
  </si>
  <si>
    <t>Total Project</t>
  </si>
  <si>
    <t>Project</t>
  </si>
  <si>
    <t>($)</t>
  </si>
  <si>
    <t>Sum Lines 1 thru 3</t>
  </si>
  <si>
    <t>Statement AH</t>
  </si>
  <si>
    <t>Operation and Maintenance Expenses</t>
  </si>
  <si>
    <t>Derivation of Transmission Operation and Maintenance Expense:</t>
  </si>
  <si>
    <t>Total Transmission O&amp;M Expense</t>
  </si>
  <si>
    <t>320-323; 112; b</t>
  </si>
  <si>
    <t>AH-1; Line 33; Col. a</t>
  </si>
  <si>
    <t xml:space="preserve">     Total Adjusted Transmission O&amp;M Expenses </t>
  </si>
  <si>
    <t>Derivation of Administrative and General Expense:</t>
  </si>
  <si>
    <t>Total Administrative &amp; General Expense</t>
  </si>
  <si>
    <t>320-323; 197; b</t>
  </si>
  <si>
    <t>AH-2; Line 16; Col. a</t>
  </si>
  <si>
    <t xml:space="preserve">     Total Adjusted A&amp;G Expenses Including Property Insurance</t>
  </si>
  <si>
    <t>Less: Property Insurance (Due to different allocation factor)</t>
  </si>
  <si>
    <t>Negative of AH-2; Line 5; Col. c</t>
  </si>
  <si>
    <t>Total Adjusted A&amp;G Expenses Excluding Property Insurance</t>
  </si>
  <si>
    <t>Transmission Related Administrative &amp; General Expenses</t>
  </si>
  <si>
    <t>Property Insurance Allocated to Transmission, General, and Common Plant</t>
  </si>
  <si>
    <t xml:space="preserve">     Transmission Related A&amp;G Expense Including Property Insurance Expense</t>
  </si>
  <si>
    <t>Derivation of Transmission Plant Property Insurance Allocation Factor:</t>
  </si>
  <si>
    <t>Transmission Plant &amp; Incentive Transmission Plant</t>
  </si>
  <si>
    <t>Statement AD; Line 25</t>
  </si>
  <si>
    <t xml:space="preserve">     Total Transmission Related Investment in Plant</t>
  </si>
  <si>
    <t>Total Steam Production Plant</t>
  </si>
  <si>
    <t>Statement AD; Line 1</t>
  </si>
  <si>
    <t>Total Nuclear Production Plant</t>
  </si>
  <si>
    <t>Total Other Production Plant</t>
  </si>
  <si>
    <t>Statement AD; Line 7</t>
  </si>
  <si>
    <t>Total Distribution Plant</t>
  </si>
  <si>
    <t>Statement AD; Line 9</t>
  </si>
  <si>
    <t>Total General Plant</t>
  </si>
  <si>
    <t>Statement AD; Line 17</t>
  </si>
  <si>
    <t>Total Common Plant</t>
  </si>
  <si>
    <t>Statement AD; Line 19</t>
  </si>
  <si>
    <t xml:space="preserve">     Total Plant in Service Excluding SONGS</t>
  </si>
  <si>
    <t>Transmission Property Insurance and Tax Allocation Factor</t>
  </si>
  <si>
    <t>Electric Transmission O&amp;M Expenses</t>
  </si>
  <si>
    <t>(c) = (a) - (b)</t>
  </si>
  <si>
    <t>Excluded</t>
  </si>
  <si>
    <t>Acct</t>
  </si>
  <si>
    <t>Per Books</t>
  </si>
  <si>
    <t>Expenses</t>
  </si>
  <si>
    <t>Adjusted</t>
  </si>
  <si>
    <t>Electric Transmission Operation</t>
  </si>
  <si>
    <t>Operation Supervision and Engineering</t>
  </si>
  <si>
    <t>Form 1; Page 320-323; Line 83</t>
  </si>
  <si>
    <t>Load Dispatch - Reliability</t>
  </si>
  <si>
    <t>Form 1; Page 320-323; Line 85</t>
  </si>
  <si>
    <t>Load Dispatch - Monitor and Operate Transmission System</t>
  </si>
  <si>
    <t>Form 1; Page 320-323; Line 86</t>
  </si>
  <si>
    <t>Load Dispatch - Transmission Service and Scheduling</t>
  </si>
  <si>
    <t>Form 1; Page 320-323; Line 87</t>
  </si>
  <si>
    <t xml:space="preserve">Scheduling, System Control and Dispatch Services </t>
  </si>
  <si>
    <t>Form 1; Page 320-323; Line 88</t>
  </si>
  <si>
    <t>Reliability, Planning and Standards Development</t>
  </si>
  <si>
    <t>Form 1; Page 320-323; Line 89</t>
  </si>
  <si>
    <t>Transmission Service Studies</t>
  </si>
  <si>
    <t>Form 1; Page 320-323; Line 90</t>
  </si>
  <si>
    <t>Generation Interconnection Studies</t>
  </si>
  <si>
    <t>Form 1; Page 320-323; Line 91</t>
  </si>
  <si>
    <t xml:space="preserve">Reliability, Planning and Standards Development Services </t>
  </si>
  <si>
    <t>Form 1; Page 320-323; Line 92</t>
  </si>
  <si>
    <t>Station Expenses</t>
  </si>
  <si>
    <t>Form 1; Page 320-323; Line 93</t>
  </si>
  <si>
    <r>
      <t xml:space="preserve">Overhead Line Expenses </t>
    </r>
    <r>
      <rPr>
        <b/>
        <sz val="12"/>
        <rFont val="Times New Roman"/>
        <family val="1"/>
      </rPr>
      <t xml:space="preserve"> </t>
    </r>
  </si>
  <si>
    <t>Form 1; Page 320-323; Line 94</t>
  </si>
  <si>
    <t>Underground Line Expenses</t>
  </si>
  <si>
    <t>Form 1; Page 320-323; Line 95</t>
  </si>
  <si>
    <t>Transmission of Electricity by Others</t>
  </si>
  <si>
    <t>Form 1; Page 320-323; Line 96</t>
  </si>
  <si>
    <t>Misc. Transmission Expenses</t>
  </si>
  <si>
    <t>Form 1; Page 320-323; Line 97</t>
  </si>
  <si>
    <t>Rents</t>
  </si>
  <si>
    <t>Form 1; Page 320-323; Line 98</t>
  </si>
  <si>
    <t xml:space="preserve">     Total Electric Transmission Operation </t>
  </si>
  <si>
    <t>Electric Transmission Maintenance</t>
  </si>
  <si>
    <t>Maintenance Supervision and Engineering</t>
  </si>
  <si>
    <t>Form 1; Page 320-323; Line 101</t>
  </si>
  <si>
    <t>Maintenance of Structures</t>
  </si>
  <si>
    <t>Form 1; Page 320-323; Line 102</t>
  </si>
  <si>
    <t>Maintenance of Computer Hardware</t>
  </si>
  <si>
    <t>Form 1; Page 320-323; Line 103</t>
  </si>
  <si>
    <t>Maintenance of Computer Software</t>
  </si>
  <si>
    <t>Form 1; Page 320-323; Line 104</t>
  </si>
  <si>
    <t>Maintenance of Communication Equipment</t>
  </si>
  <si>
    <t>Form 1; Page 320-323; Line 105</t>
  </si>
  <si>
    <t>Maintenance of Misc. Regional Transmission Plant</t>
  </si>
  <si>
    <t>Form 1; Page 320-323; Line 106</t>
  </si>
  <si>
    <t>Maintenance of Station Equipment</t>
  </si>
  <si>
    <t>Form 1; Page 320-323; Line 107</t>
  </si>
  <si>
    <t>Maintenance of Overhead Lines</t>
  </si>
  <si>
    <t>Form 1; Page 320-323; Line 108</t>
  </si>
  <si>
    <t>Maintenance of Underground Lines</t>
  </si>
  <si>
    <t>Form 1; Page 320-323; Line 109</t>
  </si>
  <si>
    <t>Maintenance of Misc. Transmission Plant</t>
  </si>
  <si>
    <t>Form 1; Page 320-323; Line 110</t>
  </si>
  <si>
    <t xml:space="preserve">     Total Electric Transmission Maintenance</t>
  </si>
  <si>
    <t>Total Electric Transmission O&amp;M Expenses</t>
  </si>
  <si>
    <t>Excluded Expenses (recovery method in parentheses):</t>
  </si>
  <si>
    <t>560</t>
  </si>
  <si>
    <t xml:space="preserve">561.4 </t>
  </si>
  <si>
    <t>Scheduling, System Control and Dispatch Services (ERRA)</t>
  </si>
  <si>
    <t>Reliability, Planning and Standards Development Services (ERRA)</t>
  </si>
  <si>
    <t>Transmission of Electricity by Others (ERRA)</t>
  </si>
  <si>
    <t>566</t>
  </si>
  <si>
    <t>Century Energy Systems Balancing Account (CES-21BA)</t>
  </si>
  <si>
    <t>Hazardous Substance Cleanup Cost Memo Account (HSCCMA)</t>
  </si>
  <si>
    <t>ISO Grid Management Costs (ERRA)</t>
  </si>
  <si>
    <t>Reliability Services (RS rates)</t>
  </si>
  <si>
    <t xml:space="preserve">Other (TRBAA, TACBAA) </t>
  </si>
  <si>
    <t>Total Excluded Expenses</t>
  </si>
  <si>
    <t>Administrative &amp; General Expenses</t>
  </si>
  <si>
    <t>Administrative &amp; General</t>
  </si>
  <si>
    <t>A&amp;G Salaries</t>
  </si>
  <si>
    <t>Form 1; Page 320-323; Line 181</t>
  </si>
  <si>
    <t>Office Supplies &amp; Expenses</t>
  </si>
  <si>
    <t>Form 1; Page 320-323; Line 182</t>
  </si>
  <si>
    <t>Less: Administrative Expenses Transferred-Credit</t>
  </si>
  <si>
    <t>Form 1; Page 320-323; Line 183</t>
  </si>
  <si>
    <t>Outside Services Employed</t>
  </si>
  <si>
    <t>Form 1; Page 320-323; Line 184</t>
  </si>
  <si>
    <t>Property Insurance</t>
  </si>
  <si>
    <t>Form 1; Page 320-323; Line 185</t>
  </si>
  <si>
    <t>Injuries &amp; Damages</t>
  </si>
  <si>
    <t>Form 1; Page 320-323; Line 186</t>
  </si>
  <si>
    <r>
      <t>Employee Pensions &amp; Benefits</t>
    </r>
    <r>
      <rPr>
        <b/>
        <vertAlign val="superscript"/>
        <sz val="12"/>
        <rFont val="Times New Roman"/>
        <family val="1"/>
      </rPr>
      <t xml:space="preserve"> 1</t>
    </r>
  </si>
  <si>
    <t>Form 1; Page 320-323; Line 187</t>
  </si>
  <si>
    <t xml:space="preserve">Franchise Requirements </t>
  </si>
  <si>
    <t>Form 1; Page 320-323; Line 188</t>
  </si>
  <si>
    <r>
      <t xml:space="preserve">Regulatory Commission Expenses </t>
    </r>
    <r>
      <rPr>
        <vertAlign val="superscript"/>
        <sz val="12"/>
        <rFont val="Times New Roman"/>
        <family val="1"/>
      </rPr>
      <t xml:space="preserve"> </t>
    </r>
  </si>
  <si>
    <t>Form 1; Page 320-323; Line 189</t>
  </si>
  <si>
    <t>Less: Duplicate Charges (Company Energy Use)</t>
  </si>
  <si>
    <t>Form 1; Page 320-323; Line 190</t>
  </si>
  <si>
    <t>General Advertising Expenses</t>
  </si>
  <si>
    <t>Form 1; Page 320-323; Line 191</t>
  </si>
  <si>
    <t>Miscellaneous General Expenses</t>
  </si>
  <si>
    <t>Form 1; Page 320-323; Line 192</t>
  </si>
  <si>
    <t>Form 1; Page 320-323; Line 193</t>
  </si>
  <si>
    <t>Maintenance of General Plant</t>
  </si>
  <si>
    <t>Form 1; Page 320-323; Line 196</t>
  </si>
  <si>
    <t>Total Administrative &amp; General Expenses</t>
  </si>
  <si>
    <t>Excluded Expenses:</t>
  </si>
  <si>
    <t>Energy Efficiency</t>
  </si>
  <si>
    <t>CPUC reimbursement fees</t>
  </si>
  <si>
    <t>Litigation expenses - Litigation Cost Memorandum Account (LCMA)</t>
  </si>
  <si>
    <t>CPUC Intervenor Funding Expense - Distribution</t>
  </si>
  <si>
    <t>Abandoned Projects</t>
  </si>
  <si>
    <t xml:space="preserve">Hazardous Substances-Hazardous Substance Cleanup Cost Account </t>
  </si>
  <si>
    <t>Statement AI</t>
  </si>
  <si>
    <t>Wages and Salaries</t>
  </si>
  <si>
    <t>Production Wages &amp; Salaries (Includes Steam &amp; Other Power Supply)</t>
  </si>
  <si>
    <t>354-355; 20; b</t>
  </si>
  <si>
    <t>Transmission Wages &amp; Salaries</t>
  </si>
  <si>
    <t>354-355; 21; b</t>
  </si>
  <si>
    <t>Distribution Wages &amp; Salaries</t>
  </si>
  <si>
    <t>354-355; 23; b</t>
  </si>
  <si>
    <t>Customer Accounts Wages &amp; Salaries</t>
  </si>
  <si>
    <t>354-355; 24; b</t>
  </si>
  <si>
    <t>Customer Services and Informational Wages &amp; Salaries</t>
  </si>
  <si>
    <t>354-355; 25; b</t>
  </si>
  <si>
    <t>Sales Wages &amp; Salaries</t>
  </si>
  <si>
    <t>354-355; 26; b</t>
  </si>
  <si>
    <t xml:space="preserve">     Total Operating &amp; Maintenance Wages &amp; Salaries Excl. A&amp;G</t>
  </si>
  <si>
    <t>Sum Lines 1 thru 11</t>
  </si>
  <si>
    <t>Line 3 /  Line 13</t>
  </si>
  <si>
    <t>Statement AJ</t>
  </si>
  <si>
    <t>Depreciation and Amortization Expense</t>
  </si>
  <si>
    <t>Transmission Plant Depreciation Expense</t>
  </si>
  <si>
    <t>Electric Miscellaneous Intangible Plant Amortization Expense</t>
  </si>
  <si>
    <t>336-337; 1; f</t>
  </si>
  <si>
    <t>AJ-2; Line 1</t>
  </si>
  <si>
    <t xml:space="preserve">General Plant Depreciation Expense </t>
  </si>
  <si>
    <t>336-337; 10; f</t>
  </si>
  <si>
    <t>AJ-3; Line 1</t>
  </si>
  <si>
    <t xml:space="preserve">Common Plant Depreciation Expense </t>
  </si>
  <si>
    <t>336-337; 11; f</t>
  </si>
  <si>
    <t>AJ-4; Line 3</t>
  </si>
  <si>
    <t>Transmission Related Electric Misc. Intangible Plant Amortization Expense</t>
  </si>
  <si>
    <t>Transmission Related General Plant Depreciation Expense</t>
  </si>
  <si>
    <t>Transmission Related Common Plant Depreciation Expense</t>
  </si>
  <si>
    <t xml:space="preserve">     Total Transmission, General, Common, and Electric Misc. Intangible Exp.</t>
  </si>
  <si>
    <r>
      <t>Incentive Transmission Plant Abandoned Project Cost Amortization Expense</t>
    </r>
    <r>
      <rPr>
        <vertAlign val="superscript"/>
        <sz val="12"/>
        <rFont val="Times New Roman"/>
        <family val="1"/>
      </rPr>
      <t xml:space="preserve"> </t>
    </r>
    <r>
      <rPr>
        <b/>
        <vertAlign val="superscript"/>
        <sz val="12"/>
        <rFont val="Times New Roman"/>
        <family val="1"/>
      </rPr>
      <t>1</t>
    </r>
  </si>
  <si>
    <t>AJ-6; Line 1</t>
  </si>
  <si>
    <t>Transmission Plant Abandoned Project Cost Amortization Expense</t>
  </si>
  <si>
    <t>AJ-7; Line 1</t>
  </si>
  <si>
    <t>Net of Incentive Transmission Plant Depreciation Expense.</t>
  </si>
  <si>
    <t>STATEMENT AJ</t>
  </si>
  <si>
    <t>DEPRECIATION &amp; AMORTIZATION EXPENSE RELATED TO TRANSMISSION</t>
  </si>
  <si>
    <t>Expense</t>
  </si>
  <si>
    <t>Land and  Land Rights</t>
  </si>
  <si>
    <t>Structures and Improvements</t>
  </si>
  <si>
    <t>Overhead Conductors &amp; Devices</t>
  </si>
  <si>
    <t>Underground Conductors &amp; Devices</t>
  </si>
  <si>
    <t>Roads and Trails</t>
  </si>
  <si>
    <t>Total Depreciation and Amortization Expense</t>
  </si>
  <si>
    <t>AJ-1A; Line 22; Col. 1</t>
  </si>
  <si>
    <t>AJ-1A; Line 22; Col. 7</t>
  </si>
  <si>
    <t>This column represents the monthly ratemaking depreciation expense balances for the base &amp; true-up periods. These depreciation expense balances reflect the amounts shifted between</t>
  </si>
  <si>
    <t>DERIVATION OF RECLASSIFIED</t>
  </si>
  <si>
    <t>DEPRECIATION AND AMORTIZATION EXPENSE AND RECLASSIFICATION FACTOR</t>
  </si>
  <si>
    <t>`</t>
  </si>
  <si>
    <t>Net</t>
  </si>
  <si>
    <t>SWPL</t>
  </si>
  <si>
    <t>Total Trans</t>
  </si>
  <si>
    <t>Accounts 403-405</t>
  </si>
  <si>
    <t>Accounts 403,</t>
  </si>
  <si>
    <t>Expense Reclass</t>
  </si>
  <si>
    <t>403-405</t>
  </si>
  <si>
    <t>Adj.</t>
  </si>
  <si>
    <r>
      <t xml:space="preserve">Ratemaking </t>
    </r>
    <r>
      <rPr>
        <b/>
        <vertAlign val="superscript"/>
        <sz val="12"/>
        <rFont val="Times New Roman"/>
        <family val="1"/>
      </rPr>
      <t>2</t>
    </r>
  </si>
  <si>
    <r>
      <t xml:space="preserve">404 &amp; 405 </t>
    </r>
    <r>
      <rPr>
        <b/>
        <vertAlign val="superscript"/>
        <sz val="12"/>
        <rFont val="Times New Roman"/>
        <family val="1"/>
      </rPr>
      <t>1</t>
    </r>
  </si>
  <si>
    <t>to Generation</t>
  </si>
  <si>
    <t>to Distribution</t>
  </si>
  <si>
    <t>Sum 1:4</t>
  </si>
  <si>
    <r>
      <t xml:space="preserve">Expense </t>
    </r>
    <r>
      <rPr>
        <b/>
        <vertAlign val="superscript"/>
        <sz val="12"/>
        <rFont val="Times New Roman"/>
        <family val="1"/>
      </rPr>
      <t>3</t>
    </r>
  </si>
  <si>
    <t>SUM 5:6</t>
  </si>
  <si>
    <t>Valley Rainbow Ratemaking Adj.</t>
  </si>
  <si>
    <t>SWPL Ratemaking Adj. Amort.</t>
  </si>
  <si>
    <t>Land and Land Rights</t>
  </si>
  <si>
    <t>These represent plant depreciation and amortization expense transfers to comply with FERC Order No. 888 and reflect the adjusted Transmission plant depreciation and amortization expense.</t>
  </si>
  <si>
    <t>Per Books Total Transmission Depreciation Expense (Col. 1) can be found in the FERC Form 1; Page 336-337; Line 7; Col. f.</t>
  </si>
  <si>
    <t>Ratemaking Total Transmission Depreciation Expense (Col. 7) is the sum of Total Transmission Depreciation Expense plus the SWPL Adjustment referred to in Footnote 3 below.</t>
  </si>
  <si>
    <t>Total Transmission Depreciation Expense for Ratemaking (Col. 7) = (FERC Form 1; Page 336-337; Footnote Data (a); Transmission Plant Total) + (FERC Form 1; Page 114-117; Line 9; Col. g).</t>
  </si>
  <si>
    <t>Statement AJ - Workpapers</t>
  </si>
  <si>
    <t>(c) = (a) + (b)</t>
  </si>
  <si>
    <t>Life</t>
  </si>
  <si>
    <t>Removal</t>
  </si>
  <si>
    <t>Rate</t>
  </si>
  <si>
    <t>E352.10</t>
  </si>
  <si>
    <t>E352.20</t>
  </si>
  <si>
    <t>E352.60</t>
  </si>
  <si>
    <t>SRPL</t>
  </si>
  <si>
    <t>Struct &amp; Improv</t>
  </si>
  <si>
    <t>E353.10</t>
  </si>
  <si>
    <t>E353.20</t>
  </si>
  <si>
    <t>E353.40</t>
  </si>
  <si>
    <t>CTC</t>
  </si>
  <si>
    <t>E353.60</t>
  </si>
  <si>
    <t>E353</t>
  </si>
  <si>
    <t>Station Equip</t>
  </si>
  <si>
    <t>E354.10</t>
  </si>
  <si>
    <t>E354.20</t>
  </si>
  <si>
    <t>E354.60</t>
  </si>
  <si>
    <t>E354</t>
  </si>
  <si>
    <t>Towers &amp; Fixtrs</t>
  </si>
  <si>
    <t>E355.10</t>
  </si>
  <si>
    <t>E355.20</t>
  </si>
  <si>
    <t>E355.60</t>
  </si>
  <si>
    <t>E355</t>
  </si>
  <si>
    <t>Poles &amp; Fixtrs</t>
  </si>
  <si>
    <t>E356.10</t>
  </si>
  <si>
    <t>E356.20</t>
  </si>
  <si>
    <t>E356.60</t>
  </si>
  <si>
    <t>E356</t>
  </si>
  <si>
    <t>OVH Cnd &amp; Dev</t>
  </si>
  <si>
    <t>E357.00</t>
  </si>
  <si>
    <t>Other &amp; SWPL</t>
  </si>
  <si>
    <t>E357.60</t>
  </si>
  <si>
    <t>Other &amp; SRPL</t>
  </si>
  <si>
    <t>E357</t>
  </si>
  <si>
    <t>Trans UG Cnduit</t>
  </si>
  <si>
    <t>E358.00</t>
  </si>
  <si>
    <t>E358.60</t>
  </si>
  <si>
    <t>E358</t>
  </si>
  <si>
    <t>Trans UG Cndctr</t>
  </si>
  <si>
    <t>E359.10</t>
  </si>
  <si>
    <t>E359.20</t>
  </si>
  <si>
    <t>E359.60</t>
  </si>
  <si>
    <t>E359</t>
  </si>
  <si>
    <t xml:space="preserve">Workpapers will be included in each Annual Information Filing that will calculate the annual composite </t>
  </si>
  <si>
    <t>DEPRECIATION AND AMORTIZATION EXPENSE</t>
  </si>
  <si>
    <t>Intangible</t>
  </si>
  <si>
    <t>Form 1; Page 336-337; Line 1; Col. f</t>
  </si>
  <si>
    <t xml:space="preserve"> Amortization </t>
  </si>
  <si>
    <t>Acct No</t>
  </si>
  <si>
    <t>DESCRIPTION</t>
  </si>
  <si>
    <t xml:space="preserve"> Period (Yrs)</t>
  </si>
  <si>
    <t>ELECTRIC DISTRIBUTION</t>
  </si>
  <si>
    <t>E303</t>
  </si>
  <si>
    <t>Electric Distribution Software</t>
  </si>
  <si>
    <t>5, 7, or 10 years</t>
  </si>
  <si>
    <t>E360</t>
  </si>
  <si>
    <t>Electric Distribution Easements (land rights)</t>
  </si>
  <si>
    <t>45 years</t>
  </si>
  <si>
    <t>ELECTRIC TRANSMISSION</t>
  </si>
  <si>
    <t>E350</t>
  </si>
  <si>
    <t>Electric Transmission Easements (land rights)</t>
  </si>
  <si>
    <t>100 years</t>
  </si>
  <si>
    <t>These periods may not be changed absent a section 205 or 206 filing.</t>
  </si>
  <si>
    <t>The Annual Information Filing will reference the docket number of the FERC proceeding that</t>
  </si>
  <si>
    <t>establishes new General Plant and Common Plant depreciation rates and Intangible Plant</t>
  </si>
  <si>
    <t>amortization periods.</t>
  </si>
  <si>
    <t>General</t>
  </si>
  <si>
    <t>Form 1; Page 336-337; Line 10; Col. f</t>
  </si>
  <si>
    <t>E0139000</t>
  </si>
  <si>
    <t>Struct. and Improv.</t>
  </si>
  <si>
    <t>E0139210</t>
  </si>
  <si>
    <t>Transprtn Eq-Autos</t>
  </si>
  <si>
    <t>E0139220</t>
  </si>
  <si>
    <t>Transprtn Eq-Trailer</t>
  </si>
  <si>
    <t>E0139310</t>
  </si>
  <si>
    <t>Stores Equip.-Other</t>
  </si>
  <si>
    <t>E0139411</t>
  </si>
  <si>
    <t>Portable Tools-Other</t>
  </si>
  <si>
    <t>E0139420</t>
  </si>
  <si>
    <t>Shop Equipment</t>
  </si>
  <si>
    <t>E0139510</t>
  </si>
  <si>
    <t>Laboratory Eq.-Other</t>
  </si>
  <si>
    <t>E0139710</t>
  </si>
  <si>
    <t>Commun. Equip.-Other</t>
  </si>
  <si>
    <t>E0139720</t>
  </si>
  <si>
    <t>Commun. Equip.-SWPL</t>
  </si>
  <si>
    <t>E0139760</t>
  </si>
  <si>
    <t>Commun. Equip.-SRPL</t>
  </si>
  <si>
    <t>E0139770</t>
  </si>
  <si>
    <t>Telecommunications Equip</t>
  </si>
  <si>
    <t>E0139810</t>
  </si>
  <si>
    <t>Misc. Equip. - Other</t>
  </si>
  <si>
    <t>E0139820</t>
  </si>
  <si>
    <t>Misc. Equip. - EVSE</t>
  </si>
  <si>
    <t>The above General Plant depreciation rates are applicable to SDG&amp;E's base period recorded</t>
  </si>
  <si>
    <t xml:space="preserve">depreciation. </t>
  </si>
  <si>
    <t>These rates may not be changed absent a section 205 or 206 filing.</t>
  </si>
  <si>
    <t>Each year, SDG&amp;E will make a FERC filing to update non-transmission depreciation rates for Common</t>
  </si>
  <si>
    <t>Plant and Electric General Plant to reflect the impact of changes in plant balances and related depreciation</t>
  </si>
  <si>
    <t>rates for each base period.</t>
  </si>
  <si>
    <t>Total Common Expense to Electric Per Book</t>
  </si>
  <si>
    <t>(Line 1 x Line 2); Form 1; Page 336-337; Line 11; Col. f</t>
  </si>
  <si>
    <t>C1839010</t>
  </si>
  <si>
    <t>Struct &amp; Imprv-Other</t>
  </si>
  <si>
    <t>C1839110</t>
  </si>
  <si>
    <t>Offc Furn &amp; Eq-Other</t>
  </si>
  <si>
    <t>C1839120</t>
  </si>
  <si>
    <t>Offc Furn &amp; Eq-Cmptr</t>
  </si>
  <si>
    <t>C1839210</t>
  </si>
  <si>
    <t>C1839220</t>
  </si>
  <si>
    <t>C1839230</t>
  </si>
  <si>
    <t>Transprtn Eq-Aviation</t>
  </si>
  <si>
    <t>C1839310</t>
  </si>
  <si>
    <t>C1839411</t>
  </si>
  <si>
    <t>C1839421</t>
  </si>
  <si>
    <t>Shop Equip. - Other</t>
  </si>
  <si>
    <t>C1839431</t>
  </si>
  <si>
    <t>Garage Equip.-Other</t>
  </si>
  <si>
    <t>C1839510</t>
  </si>
  <si>
    <t>C1839710</t>
  </si>
  <si>
    <t>C1839810</t>
  </si>
  <si>
    <t>The above Common Plant depreciation rates are applicable to SDG&amp;E's base period recorded</t>
  </si>
  <si>
    <t>DEPRECIATION &amp; AMORTIZATION EXPENSE</t>
  </si>
  <si>
    <t>Per Ratemaking</t>
  </si>
  <si>
    <t>Total Incentive Transmission Plant Depreciation Exp.</t>
  </si>
  <si>
    <t xml:space="preserve">INCENTIVE TRANSMISSION PLANT ABANDONED PROJECT COST </t>
  </si>
  <si>
    <t>Abandoned Project</t>
  </si>
  <si>
    <t xml:space="preserve">Cost </t>
  </si>
  <si>
    <t>Amortization Exp.</t>
  </si>
  <si>
    <t xml:space="preserve">TRANSMISSION PLANT ABANDONED PROJECT COST </t>
  </si>
  <si>
    <t>Statement AK</t>
  </si>
  <si>
    <t>Taxes Other Than Income Taxes</t>
  </si>
  <si>
    <t>262-263; 12; l</t>
  </si>
  <si>
    <t>Line 1 + Line 3</t>
  </si>
  <si>
    <t xml:space="preserve">     Transmission Related Property Taxes Expense</t>
  </si>
  <si>
    <t>262-263; 2,3,4,8; l</t>
  </si>
  <si>
    <t xml:space="preserve">     Transmission Related Payroll Taxes Expense</t>
  </si>
  <si>
    <t>Statement AL</t>
  </si>
  <si>
    <t>Working Capital</t>
  </si>
  <si>
    <t>Working</t>
  </si>
  <si>
    <t>13-Months</t>
  </si>
  <si>
    <t>Cash</t>
  </si>
  <si>
    <r>
      <t xml:space="preserve">A. Plant Materials and Operating Supplies </t>
    </r>
    <r>
      <rPr>
        <b/>
        <vertAlign val="superscript"/>
        <sz val="12"/>
        <rFont val="Times New Roman"/>
        <family val="1"/>
      </rPr>
      <t>1</t>
    </r>
  </si>
  <si>
    <t>227; Footnote Data (a)</t>
  </si>
  <si>
    <t>AL-1; Line 18</t>
  </si>
  <si>
    <t>Transmission Plant Allocation Factor</t>
  </si>
  <si>
    <t>Statement AD; Line 35</t>
  </si>
  <si>
    <t xml:space="preserve">     Transmission Related Materials and Supplies </t>
  </si>
  <si>
    <t>Line 1 x Line 3</t>
  </si>
  <si>
    <r>
      <t xml:space="preserve">B. Prepayments </t>
    </r>
    <r>
      <rPr>
        <b/>
        <vertAlign val="superscript"/>
        <sz val="12"/>
        <rFont val="Times New Roman"/>
        <family val="1"/>
      </rPr>
      <t>1</t>
    </r>
  </si>
  <si>
    <t>110-111; Footnote Data (c)</t>
  </si>
  <si>
    <t>AL-2; Line 18</t>
  </si>
  <si>
    <t xml:space="preserve">     Transmission Related Prepayments </t>
  </si>
  <si>
    <t>Line 3 x Line 7</t>
  </si>
  <si>
    <t>C. Derivation of Transmission Related Cash Working Capital - Retail:</t>
  </si>
  <si>
    <t xml:space="preserve">   Transmission O&amp;M Expense</t>
  </si>
  <si>
    <t xml:space="preserve">   Transmission Related A&amp;G Expense - Excl. Intervenor Funding Expense</t>
  </si>
  <si>
    <t xml:space="preserve">   CPUC Intervenor Funding Expense - Transmission</t>
  </si>
  <si>
    <t xml:space="preserve">     Total</t>
  </si>
  <si>
    <t>Sum Lines 12 thru 14</t>
  </si>
  <si>
    <t xml:space="preserve">   One Eighth O&amp;M Rule</t>
  </si>
  <si>
    <t>FERC Method = 1/8 of O&amp;M Expense</t>
  </si>
  <si>
    <t xml:space="preserve">     Transmission Related Cash Working Capital - Retail Customers</t>
  </si>
  <si>
    <t>Line 15 x Line 17</t>
  </si>
  <si>
    <t>D. Adj. to Back Out CPUC Intervenor Funding Exp. Embedded in Retail Working Cash:</t>
  </si>
  <si>
    <t>Line 14 Above</t>
  </si>
  <si>
    <t>Line 17 Above</t>
  </si>
  <si>
    <t>Adj. to Transmission Related Cash Working Capital - Wholesale Customers</t>
  </si>
  <si>
    <t>Line 22 x Line 24</t>
  </si>
  <si>
    <t>The balances for Materials &amp; Supplies and Prepayments are derived based on a 13-month average balance.</t>
  </si>
  <si>
    <t>Working Capital Adjustment to show that Wholesale customers do not pay for CPUC Intervenor Funding Expense.</t>
  </si>
  <si>
    <t>STATEMENT AL</t>
  </si>
  <si>
    <t>WORKING CAPITAL</t>
  </si>
  <si>
    <t>ACCOUNT 154 PLANT MATERIALS AND OPERATING SUPPLIES</t>
  </si>
  <si>
    <t>ELECTRIC ALLOWABLE PER FERC FORMULA</t>
  </si>
  <si>
    <t>Electric Plant</t>
  </si>
  <si>
    <t>Materials</t>
  </si>
  <si>
    <t>&amp; Supplies</t>
  </si>
  <si>
    <t>Form 1; Page 227; Footnote Data (a)</t>
  </si>
  <si>
    <t>ACCOUNT 165 PREPAYMENTS  -  ELECTRIC</t>
  </si>
  <si>
    <t>Prepayments</t>
  </si>
  <si>
    <t>Form 1; Page 110-111; Footnote Data (c)</t>
  </si>
  <si>
    <t>Statement AM</t>
  </si>
  <si>
    <t>Construction Work In Progress (CWIP)</t>
  </si>
  <si>
    <r>
      <t xml:space="preserve">Incentive Transmission Construction Work In Progress </t>
    </r>
    <r>
      <rPr>
        <b/>
        <vertAlign val="superscript"/>
        <sz val="12"/>
        <rFont val="Times New Roman"/>
        <family val="1"/>
      </rPr>
      <t>1</t>
    </r>
  </si>
  <si>
    <t>AM-1; Line 18</t>
  </si>
  <si>
    <t>The balance for Incentive Transmission Construction Work In Progress is derived based on a 13-month average balance. A line will be shown for</t>
  </si>
  <si>
    <t>each applicable project.</t>
  </si>
  <si>
    <t>STATEMENT AM</t>
  </si>
  <si>
    <t>INCENTIVE TRANSMISSION CONSTRUCTION WORK IN PROGRESS</t>
  </si>
  <si>
    <t>CWIP</t>
  </si>
  <si>
    <t>Statement AQ</t>
  </si>
  <si>
    <t>Federal Income Tax Deductions, Other Than Interest</t>
  </si>
  <si>
    <t xml:space="preserve">South Georgia Income Tax Adjustment </t>
  </si>
  <si>
    <t>261; Footnote Data (a)</t>
  </si>
  <si>
    <t xml:space="preserve">     Total Federal Income Tax Deductions Other Than Interest</t>
  </si>
  <si>
    <t>Line 1</t>
  </si>
  <si>
    <t>Statement AR</t>
  </si>
  <si>
    <t>Federal Tax Adjustments</t>
  </si>
  <si>
    <r>
      <t xml:space="preserve">Transmission Related Amortization of Investment Tax Credits </t>
    </r>
    <r>
      <rPr>
        <b/>
        <vertAlign val="superscript"/>
        <sz val="12"/>
        <rFont val="Times New Roman"/>
        <family val="1"/>
      </rPr>
      <t>1</t>
    </r>
  </si>
  <si>
    <t>266-267; Footnote Data (a)</t>
  </si>
  <si>
    <t>Transmission Related Amortization of (Excess)/Deficient Deferred Taxes</t>
  </si>
  <si>
    <t xml:space="preserve">   FERC Account 190</t>
  </si>
  <si>
    <t>AR-1; Line 7; Col. c</t>
  </si>
  <si>
    <t xml:space="preserve">   FERC Account 282</t>
  </si>
  <si>
    <t>AR-1; Line 14; Col. c</t>
  </si>
  <si>
    <t xml:space="preserve">   FERC Account 283</t>
  </si>
  <si>
    <t>AR-1; Line 22; Col. c</t>
  </si>
  <si>
    <t>Total Transmission Related Amortization of (Excess)/Deficient Deferred Taxes</t>
  </si>
  <si>
    <t>Sum Lines 4 thru 6</t>
  </si>
  <si>
    <t xml:space="preserve">     Total Federal Tax Adjustments</t>
  </si>
  <si>
    <t>Line 1 + Line 7</t>
  </si>
  <si>
    <t>Input value from FERC Form 1 should be entered as a negative.</t>
  </si>
  <si>
    <t>STATEMENT AR</t>
  </si>
  <si>
    <t>AMORTIZATION OF TRANSMISSION RELATED (EXCESS)/DEFICIENT DEFERRED TAXES</t>
  </si>
  <si>
    <t>(c) = [(a) + (b)]</t>
  </si>
  <si>
    <t xml:space="preserve">   Property Related </t>
  </si>
  <si>
    <r>
      <t xml:space="preserve">     Total of Account 190 </t>
    </r>
    <r>
      <rPr>
        <b/>
        <vertAlign val="superscript"/>
        <sz val="12"/>
        <rFont val="Times New Roman"/>
        <family val="1"/>
      </rPr>
      <t>4</t>
    </r>
  </si>
  <si>
    <t>Form 1; Page 274-275; Footnote Data (b)</t>
  </si>
  <si>
    <t xml:space="preserve">Total Federal Amortization </t>
  </si>
  <si>
    <t>Deficient amounts reported in column (b) are sourced from Order 864-3; Col. 5 and Col. 7.</t>
  </si>
  <si>
    <t>(Excess) amounts reported in column (a) are sourced from Order 864-3; Col. 6 and Col. 8.</t>
  </si>
  <si>
    <t>Statement AT</t>
  </si>
  <si>
    <t>State and Local Tax Adjustments</t>
  </si>
  <si>
    <t>AT-1; Line 7; Col. c</t>
  </si>
  <si>
    <t>AT-1; Line 14; Col. c</t>
  </si>
  <si>
    <t>AT-1; Line 22; Col. c</t>
  </si>
  <si>
    <t xml:space="preserve">     Total State and Local Tax Adjustments</t>
  </si>
  <si>
    <t>STATEMENT AT</t>
  </si>
  <si>
    <r>
      <t xml:space="preserve">Deficient Reserve </t>
    </r>
    <r>
      <rPr>
        <b/>
        <vertAlign val="superscript"/>
        <sz val="12"/>
        <rFont val="Times New Roman"/>
        <family val="1"/>
      </rPr>
      <t>1</t>
    </r>
  </si>
  <si>
    <r>
      <t xml:space="preserve">(Excess) Reserve </t>
    </r>
    <r>
      <rPr>
        <b/>
        <vertAlign val="superscript"/>
        <sz val="12"/>
        <rFont val="Times New Roman"/>
        <family val="1"/>
      </rPr>
      <t>1</t>
    </r>
  </si>
  <si>
    <t xml:space="preserve">Total State Amortization </t>
  </si>
  <si>
    <t>Statement AU</t>
  </si>
  <si>
    <t>Revenue Credits</t>
  </si>
  <si>
    <r>
      <t xml:space="preserve">(451) Miscellaneous Service Revenues </t>
    </r>
    <r>
      <rPr>
        <b/>
        <vertAlign val="superscript"/>
        <sz val="12"/>
        <rFont val="Times New Roman"/>
        <family val="1"/>
      </rPr>
      <t>1</t>
    </r>
  </si>
  <si>
    <t>300-301; 17; b</t>
  </si>
  <si>
    <t>(453) Sales of Water and Water Power</t>
  </si>
  <si>
    <t>300-301; 18; b</t>
  </si>
  <si>
    <t>(454) Rent from Electric Property</t>
  </si>
  <si>
    <t>300-301; Footnote Data (b)</t>
  </si>
  <si>
    <t>(455) Interdepartmental Rents</t>
  </si>
  <si>
    <t>300-301; 20; b</t>
  </si>
  <si>
    <t>(456) Other Electric Revenues</t>
  </si>
  <si>
    <t>300-301; Footnote Data (c)</t>
  </si>
  <si>
    <t>Electric Transmission Revenues from Citizens</t>
  </si>
  <si>
    <t xml:space="preserve">     Transmission Related Revenue Credits</t>
  </si>
  <si>
    <t>(411.6 &amp; 411.7) Gain or Loss From Sale of Plant Held for Future Use</t>
  </si>
  <si>
    <t>FERC Accounts 411.6 and 411.7</t>
  </si>
  <si>
    <t>Confirmed the amounts reported for Acct 451 on FERC Form 1; Page 300-301; Line 17; Col. b are not Transmission-related with an exception for</t>
  </si>
  <si>
    <t>Franchise Fees. Part of the Franchise Fees reported are Transmission-related, however, they are excluded in Statement AU because they are collected as a part of the</t>
  </si>
  <si>
    <t>SAP</t>
  </si>
  <si>
    <t>(d)</t>
  </si>
  <si>
    <t>(e)</t>
  </si>
  <si>
    <t>(f)</t>
  </si>
  <si>
    <t>(g)</t>
  </si>
  <si>
    <t>(h)</t>
  </si>
  <si>
    <t>(i)</t>
  </si>
  <si>
    <t>(j)</t>
  </si>
  <si>
    <t>(k)</t>
  </si>
  <si>
    <t>(l)</t>
  </si>
  <si>
    <t>(m)</t>
  </si>
  <si>
    <t>Account #</t>
  </si>
  <si>
    <t>SAP Account Description</t>
  </si>
  <si>
    <t>No</t>
  </si>
  <si>
    <t>4371049</t>
  </si>
  <si>
    <t>4371050</t>
  </si>
  <si>
    <t>Rent - Electric Property</t>
  </si>
  <si>
    <r>
      <t xml:space="preserve">Total Rent from Electric Property </t>
    </r>
    <r>
      <rPr>
        <b/>
        <vertAlign val="superscript"/>
        <sz val="12"/>
        <rFont val="Times New Roman"/>
        <family val="1"/>
      </rPr>
      <t>1</t>
    </r>
  </si>
  <si>
    <t>4371016</t>
  </si>
  <si>
    <t>Generation Interconnection</t>
  </si>
  <si>
    <t>4371040</t>
  </si>
  <si>
    <t xml:space="preserve">Revenue Enhancement </t>
  </si>
  <si>
    <t>4371055</t>
  </si>
  <si>
    <t>Shared Asset Revenue</t>
  </si>
  <si>
    <t>4371058</t>
  </si>
  <si>
    <t>Elec Trans Joint Pole Activity</t>
  </si>
  <si>
    <t>4371061</t>
  </si>
  <si>
    <t>Excess Microwave Capacity - Elec Trans</t>
  </si>
  <si>
    <t>4371065</t>
  </si>
  <si>
    <t>Trans Revenue Trsfr to Gen</t>
  </si>
  <si>
    <t>4371067</t>
  </si>
  <si>
    <t>Trans Revenue Trsfr to Dist</t>
  </si>
  <si>
    <t>4371070</t>
  </si>
  <si>
    <t>Trans Revenue Trsfr from Dist</t>
  </si>
  <si>
    <t>4371076</t>
  </si>
  <si>
    <t>Environmental Lab - Elec Tran</t>
  </si>
  <si>
    <t>4371082</t>
  </si>
  <si>
    <t>Other Elec Rev-SDGE Gen</t>
  </si>
  <si>
    <t>4371806</t>
  </si>
  <si>
    <t>Elec-Trans Fees/Rev</t>
  </si>
  <si>
    <r>
      <t xml:space="preserve">Total Other Electric Revenues </t>
    </r>
    <r>
      <rPr>
        <b/>
        <vertAlign val="superscript"/>
        <sz val="12"/>
        <rFont val="Times New Roman"/>
        <family val="1"/>
      </rPr>
      <t>2</t>
    </r>
  </si>
  <si>
    <t>Various</t>
  </si>
  <si>
    <r>
      <t xml:space="preserve">Citizens Border-East Line </t>
    </r>
    <r>
      <rPr>
        <b/>
        <vertAlign val="superscript"/>
        <sz val="12"/>
        <rFont val="Times New Roman"/>
        <family val="1"/>
      </rPr>
      <t>3</t>
    </r>
  </si>
  <si>
    <r>
      <t xml:space="preserve">Citizens Sycamore-Penasquitos Line </t>
    </r>
    <r>
      <rPr>
        <b/>
        <vertAlign val="superscript"/>
        <sz val="12"/>
        <rFont val="Times New Roman"/>
        <family val="1"/>
      </rPr>
      <t>3</t>
    </r>
  </si>
  <si>
    <t>Total Miscellaneous Revenue</t>
  </si>
  <si>
    <t>The total Rent from Electric Property in FERC Form 1; Page 300-301; Line 19; Col. b includes both Distribution and Transmission rents. The Total Transmission-related Rents from Electric</t>
  </si>
  <si>
    <t>The total Other Electric Revenues in FERC Form 1; Page 300-301; Line 21; Col. b includes other revenues for both Distribution and Transmission. The Total Transmission-related piece of Other</t>
  </si>
  <si>
    <t>Revenues is reflected in Col. (m) of this schedule and ties to the footnotes on FERC Form 1; Page 300-301; Footnote Data (c).</t>
  </si>
  <si>
    <t>The Electric Transmission Revenue for Citizens in this statement is to provide ratepayers a credit for Citizens' share of Transmission-related Common and General Plant, Transmission-related</t>
  </si>
  <si>
    <t>Working Capital Revenue, and Franchise Fees.</t>
  </si>
  <si>
    <t>Statement AV</t>
  </si>
  <si>
    <t>Cost of Capital and Fair Rate of Return</t>
  </si>
  <si>
    <t>Long-Term Debt Component - Denominator:</t>
  </si>
  <si>
    <t>Bonds (Acct 221)</t>
  </si>
  <si>
    <t>112-113; 18; c</t>
  </si>
  <si>
    <t>Less: Reacquired Bonds (Acct 222)</t>
  </si>
  <si>
    <t>112-113; 19; c</t>
  </si>
  <si>
    <t>Other Long-Term Debt (Acct 224)</t>
  </si>
  <si>
    <t>112-113; 21; c</t>
  </si>
  <si>
    <t>Unamortized Premium on Long-Term Debt (Acct 225)</t>
  </si>
  <si>
    <t>112-113; 22; c</t>
  </si>
  <si>
    <t>Less: Unamortized Discount on Long-Term Debt-Debit (Acct 226)</t>
  </si>
  <si>
    <t>112-113; 23; c</t>
  </si>
  <si>
    <t>Long-Term Debt Component - Numerator:</t>
  </si>
  <si>
    <t>Interest on Long-Term Debt (Acct 427)</t>
  </si>
  <si>
    <t>114-117; 62; c</t>
  </si>
  <si>
    <t>Amort. of Debt Disc. and Expense (Acct 428)</t>
  </si>
  <si>
    <t>114-117; 63; c</t>
  </si>
  <si>
    <t>Amortization of Loss on Reacquired Debt (Acct 428.1)</t>
  </si>
  <si>
    <t>114-117; 64; c</t>
  </si>
  <si>
    <t>Less: Amort. of Premium on Debt-Credit (Acct 429)</t>
  </si>
  <si>
    <t>114-117; 65; c</t>
  </si>
  <si>
    <t>Less: Amortization of Gain on Reacquired Debt-Credit (Acct 429.1)</t>
  </si>
  <si>
    <t>114-117; 66; c</t>
  </si>
  <si>
    <t xml:space="preserve">     i = LTD interest</t>
  </si>
  <si>
    <t>Sum Lines 10 thru 14</t>
  </si>
  <si>
    <t>Cost of Long-Term Debt:</t>
  </si>
  <si>
    <t>Line 15 / Line 7</t>
  </si>
  <si>
    <t>Preferred Equity Component:</t>
  </si>
  <si>
    <t>PF = Preferred Stock (Acct 204)</t>
  </si>
  <si>
    <t>112-113; 3; c</t>
  </si>
  <si>
    <t>d(pf) = Total Dividends Declared-Preferred Stocks (Acct 437)</t>
  </si>
  <si>
    <t>118-119; 29; c</t>
  </si>
  <si>
    <t>Line 21 / Line 20</t>
  </si>
  <si>
    <t>Common Equity Component:</t>
  </si>
  <si>
    <t>Proprietary Capital</t>
  </si>
  <si>
    <t>112-113; 16; c</t>
  </si>
  <si>
    <t>Less: Preferred Stock (Acct 204)</t>
  </si>
  <si>
    <t>Negative of Line 20 Above</t>
  </si>
  <si>
    <t>Less: Unappropriated Undistributed Subsidiary Earnings (Acct 216.1)</t>
  </si>
  <si>
    <t>112-113; 12; c</t>
  </si>
  <si>
    <t>Accumulated Other Comprehensive Income (Acct 219)</t>
  </si>
  <si>
    <t>112-113; 15; c</t>
  </si>
  <si>
    <t>(d) = (b) x (c)</t>
  </si>
  <si>
    <t>Cap. Struct.</t>
  </si>
  <si>
    <t>Cost of</t>
  </si>
  <si>
    <t>Weighted</t>
  </si>
  <si>
    <t>Weighted Cost of Capital:</t>
  </si>
  <si>
    <r>
      <t xml:space="preserve">Amounts </t>
    </r>
    <r>
      <rPr>
        <b/>
        <vertAlign val="superscript"/>
        <sz val="12"/>
        <rFont val="Times New Roman"/>
        <family val="1"/>
      </rPr>
      <t>1</t>
    </r>
  </si>
  <si>
    <t>Ratio</t>
  </si>
  <si>
    <t>Capital</t>
  </si>
  <si>
    <t>Cost of Capital</t>
  </si>
  <si>
    <t>Long-Term Debt</t>
  </si>
  <si>
    <t>Col. c = Line 17 Above</t>
  </si>
  <si>
    <t>Preferred Equity</t>
  </si>
  <si>
    <t>Col. c = Line 22 Above</t>
  </si>
  <si>
    <t>Common Equity</t>
  </si>
  <si>
    <t>Col. c = Line 32 Above</t>
  </si>
  <si>
    <t xml:space="preserve">     Total Capital</t>
  </si>
  <si>
    <t>Sum Lines 37 thru 39</t>
  </si>
  <si>
    <t>Line 38 + Line 39; Col. d</t>
  </si>
  <si>
    <t>Amount is based upon December 31 balances.</t>
  </si>
  <si>
    <t>Incentive Weighted Cost of Capital:</t>
  </si>
  <si>
    <t>A. Federal Income Tax Component:</t>
  </si>
  <si>
    <t>Where:</t>
  </si>
  <si>
    <t xml:space="preserve">     A = Sum of Preferred Stock and Return on Equity Component</t>
  </si>
  <si>
    <t xml:space="preserve">     B = Transmission Total Federal Tax Adjustments</t>
  </si>
  <si>
    <t>Negative of Statement AR; Line 9</t>
  </si>
  <si>
    <t xml:space="preserve">     C = Equity AFUDC Component of Transmission Depreciation Expense</t>
  </si>
  <si>
    <t xml:space="preserve">     D = Transmission Rate Base</t>
  </si>
  <si>
    <t xml:space="preserve">     FT = Federal Income Tax Rate for Rate Effective Period</t>
  </si>
  <si>
    <t>21%</t>
  </si>
  <si>
    <t>Federal Income Tax Rate</t>
  </si>
  <si>
    <t>Federal Income Tax    =    (((A) + (C / D)) * FT) - (B / D)</t>
  </si>
  <si>
    <t>Federal Income Tax Expense</t>
  </si>
  <si>
    <t xml:space="preserve">                                                         (1 - FT)</t>
  </si>
  <si>
    <t>B. State Income Tax Component:</t>
  </si>
  <si>
    <t>Line 6 Above</t>
  </si>
  <si>
    <t xml:space="preserve">     B = Transmission Total State Tax Adjustments</t>
  </si>
  <si>
    <t>Negative of Statement AT; Line 9</t>
  </si>
  <si>
    <t>Line 8 Above</t>
  </si>
  <si>
    <t>Line 9 Above</t>
  </si>
  <si>
    <t xml:space="preserve">     FT = Federal Income Tax Expense</t>
  </si>
  <si>
    <t>Line 12 Above</t>
  </si>
  <si>
    <t xml:space="preserve">     ST = State Income Tax Rate for Rate Effective Period</t>
  </si>
  <si>
    <t>8.84%</t>
  </si>
  <si>
    <t>State Income Tax Rate</t>
  </si>
  <si>
    <t>State Income Tax    =    (((A) + (C / D) + Federal Income Tax) * (ST)) - (B / D)</t>
  </si>
  <si>
    <t>State Income Tax Expense</t>
  </si>
  <si>
    <t xml:space="preserve">                                                                     (1 - ST)</t>
  </si>
  <si>
    <t>Line 12 + Line 25</t>
  </si>
  <si>
    <t>Shall be Zero for Incentive ROE Projects</t>
  </si>
  <si>
    <t xml:space="preserve">     D = Total Incentive ROE Project Transmission Rate Base</t>
  </si>
  <si>
    <t xml:space="preserve">Federal Income Tax    =    (((A) + (C / D)) * FT) - (B / D) </t>
  </si>
  <si>
    <t xml:space="preserve">Federal Income Tax Expense </t>
  </si>
  <si>
    <t>San Diego Gas &amp; Electric Company</t>
  </si>
  <si>
    <t>Non-Incentive Equity AFUDC Component of Transmission Depreciation Expense</t>
  </si>
  <si>
    <t>Non-Incentive Equity AFUDC</t>
  </si>
  <si>
    <t>Component of Transmission</t>
  </si>
  <si>
    <r>
      <t xml:space="preserve">Vintages of Plant </t>
    </r>
    <r>
      <rPr>
        <b/>
        <vertAlign val="superscript"/>
        <sz val="12"/>
        <rFont val="Times New Roman"/>
        <family val="1"/>
      </rPr>
      <t>1</t>
    </r>
  </si>
  <si>
    <t>Depn Exp.</t>
  </si>
  <si>
    <t>Citizens Sunrise Adjustment (see w/p AV-1B)</t>
  </si>
  <si>
    <t>Citizens SX-PQ Adjustment (see w/p AV-1B)</t>
  </si>
  <si>
    <t>AFUDC Equity Depreciation Expense - Net of AFUDC Equity Depreciation Expense on Assets Leased to Citizens Sunrise</t>
  </si>
  <si>
    <t xml:space="preserve">Reflects the years that were taken into consideration to develop the table. The table </t>
  </si>
  <si>
    <t>begins in 2001 because all the data needed was not available until 2001 in SAP</t>
  </si>
  <si>
    <t>(SDG&amp;E's general accounting system).</t>
  </si>
  <si>
    <t>Citizens' Calculation of Equity AFUDC Component of Transmission Depreciation Expenses</t>
  </si>
  <si>
    <t xml:space="preserve">AFUDC embedded in the Lease Payment on the Border-East Line </t>
  </si>
  <si>
    <r>
      <t xml:space="preserve">AFUDC Equity Percentage </t>
    </r>
    <r>
      <rPr>
        <sz val="12"/>
        <rFont val="Times New Roman"/>
        <family val="1"/>
      </rPr>
      <t>as of July 2012</t>
    </r>
  </si>
  <si>
    <t>AFUDC Equity Embedded in the Border-East Line</t>
  </si>
  <si>
    <t>Annual Depreciation Rate (30 year Lease)</t>
  </si>
  <si>
    <t>1 / 30 years</t>
  </si>
  <si>
    <t>Annual Book Depreciation on AFUDC Equity</t>
  </si>
  <si>
    <t>Line 5 x Line 7</t>
  </si>
  <si>
    <t xml:space="preserve">AFUDC embedded in the Lease Payment on the SX-PQ Line </t>
  </si>
  <si>
    <t>AFUDC Equity Percentage as of November 2018</t>
  </si>
  <si>
    <t>AFUDC Equity Embedded in the SX-PQ Line</t>
  </si>
  <si>
    <t>Line 19 x Line 21</t>
  </si>
  <si>
    <t xml:space="preserve">Miscellaneous Statement </t>
  </si>
  <si>
    <r>
      <t xml:space="preserve">Transmission Related Regulatory Debits/Credits </t>
    </r>
    <r>
      <rPr>
        <b/>
        <vertAlign val="superscript"/>
        <sz val="12"/>
        <rFont val="Times New Roman"/>
        <family val="1"/>
      </rPr>
      <t>1</t>
    </r>
  </si>
  <si>
    <r>
      <t xml:space="preserve">Transmission Plant Abandoned Project Cost </t>
    </r>
    <r>
      <rPr>
        <b/>
        <vertAlign val="superscript"/>
        <sz val="12"/>
        <rFont val="Times New Roman"/>
        <family val="1"/>
      </rPr>
      <t>1</t>
    </r>
  </si>
  <si>
    <r>
      <t xml:space="preserve">Other Regulatory Assets/Liabilities </t>
    </r>
    <r>
      <rPr>
        <b/>
        <vertAlign val="superscript"/>
        <sz val="12"/>
        <rFont val="Times New Roman"/>
        <family val="1"/>
      </rPr>
      <t>1</t>
    </r>
  </si>
  <si>
    <r>
      <t xml:space="preserve">Incentive Transmission Plant Abandoned Project Cost </t>
    </r>
    <r>
      <rPr>
        <b/>
        <vertAlign val="superscript"/>
        <sz val="12"/>
        <rFont val="Times New Roman"/>
        <family val="1"/>
      </rPr>
      <t>1</t>
    </r>
  </si>
  <si>
    <t>applicable data field will be filled.</t>
  </si>
  <si>
    <t>MISCELLANEOUS STATEMENT</t>
  </si>
  <si>
    <t>UNFUNDED RESERVES</t>
  </si>
  <si>
    <t>Workers' Compensation</t>
  </si>
  <si>
    <t>Supplemental Executive Retirement Plan (SERP)</t>
  </si>
  <si>
    <t>Accrued Vacation</t>
  </si>
  <si>
    <t xml:space="preserve">     Total Unfunded Reserves</t>
  </si>
  <si>
    <t>Sum Lines 1 thru 7</t>
  </si>
  <si>
    <r>
      <t xml:space="preserve">(a) </t>
    </r>
    <r>
      <rPr>
        <b/>
        <vertAlign val="superscript"/>
        <sz val="12"/>
        <rFont val="Times New Roman"/>
        <family val="1"/>
      </rPr>
      <t>1</t>
    </r>
  </si>
  <si>
    <t xml:space="preserve">   Allocation Factor</t>
  </si>
  <si>
    <t>Col. (b); AD-10; Line 6 x AI; Line 15</t>
  </si>
  <si>
    <t>Line 2 x Line 3</t>
  </si>
  <si>
    <t xml:space="preserve">   Workers' Compensation - Acct. 228</t>
  </si>
  <si>
    <t xml:space="preserve">     Total Workers' Compensation</t>
  </si>
  <si>
    <t xml:space="preserve">   SERP - Acct. 228 / Acct. 242 </t>
  </si>
  <si>
    <t xml:space="preserve">     Total SERP</t>
  </si>
  <si>
    <t>Line 12 x Line 13</t>
  </si>
  <si>
    <t xml:space="preserve">   Accrued Vacation - Acct. 232</t>
  </si>
  <si>
    <t xml:space="preserve">     Total Accrued Vacation</t>
  </si>
  <si>
    <r>
      <rPr>
        <b/>
        <vertAlign val="superscript"/>
        <sz val="12"/>
        <rFont val="Times New Roman"/>
        <family val="1"/>
      </rPr>
      <t>1</t>
    </r>
  </si>
  <si>
    <t>The Prior Year's Allocation Factor shown on lines 3, 8, 13 and 18 is derived as follows based on recorded data:</t>
  </si>
  <si>
    <t>a</t>
  </si>
  <si>
    <t>Electric Ratio</t>
  </si>
  <si>
    <t>b</t>
  </si>
  <si>
    <t>c</t>
  </si>
  <si>
    <t>Line a x Line b</t>
  </si>
  <si>
    <t>FERC Order 864 Worksheet - Order 864-1</t>
  </si>
  <si>
    <t>(Excess)/Deficient Accumulated Deferred Income Taxes ("ADIT")</t>
  </si>
  <si>
    <t>Year:</t>
  </si>
  <si>
    <t>Col. 1</t>
  </si>
  <si>
    <t>Col. 2</t>
  </si>
  <si>
    <t>Col. 3</t>
  </si>
  <si>
    <t>Col. 4</t>
  </si>
  <si>
    <t>Col. 5</t>
  </si>
  <si>
    <t>Col. 6</t>
  </si>
  <si>
    <t>Col. 7</t>
  </si>
  <si>
    <t>Col. 8</t>
  </si>
  <si>
    <t>Col. 9</t>
  </si>
  <si>
    <t>Col. 10</t>
  </si>
  <si>
    <t>Col. 11</t>
  </si>
  <si>
    <t>Col. 12</t>
  </si>
  <si>
    <t>Col. 13</t>
  </si>
  <si>
    <r>
      <rPr>
        <sz val="10"/>
        <rFont val="Calibri"/>
        <family val="2"/>
      </rPr>
      <t>Ʃ</t>
    </r>
    <r>
      <rPr>
        <sz val="10"/>
        <rFont val="Times New Roman"/>
        <family val="1"/>
      </rPr>
      <t xml:space="preserve"> Col. 3 thru Col. 8</t>
    </r>
  </si>
  <si>
    <t>= Order 864-2 Col. 8</t>
  </si>
  <si>
    <t>= Col. 10 + Col. 11</t>
  </si>
  <si>
    <t>Line No.</t>
  </si>
  <si>
    <t>Description (Note 1)</t>
  </si>
  <si>
    <t>FERC Acct</t>
  </si>
  <si>
    <t>Beginning Deficient ADIT - Acct 182.3</t>
  </si>
  <si>
    <t>Beginning (Excess) ADIT - Acct 254</t>
  </si>
  <si>
    <t>Return to Provision and Other Adjustments Acct 182.3</t>
  </si>
  <si>
    <t>Return to Provision and Other Adjustments Acct 254</t>
  </si>
  <si>
    <t>ADIT Amortization Acct 410.1</t>
  </si>
  <si>
    <t>ADIT Amortization Acct 411.1</t>
  </si>
  <si>
    <t>Cumulative Amortization of Excess/Deficient ADIT</t>
  </si>
  <si>
    <t>Net (Excess)/ Deficient ADIT at Current Tax Rate</t>
  </si>
  <si>
    <t>Adjustment for New Tax Rate - Acct 182.3 / 254</t>
  </si>
  <si>
    <t>Ending Deficient ADIT - Acct 182.3</t>
  </si>
  <si>
    <t>Ending (Excess) ADIT - Acct 254</t>
  </si>
  <si>
    <t>Unprotected - Non-Property Related - (Note 2)</t>
  </si>
  <si>
    <t xml:space="preserve">   Compensation Related Items:</t>
  </si>
  <si>
    <t xml:space="preserve">        Accrued Bonus</t>
  </si>
  <si>
    <t xml:space="preserve">        Accrued Vacation</t>
  </si>
  <si>
    <t xml:space="preserve">        Workers Compensation</t>
  </si>
  <si>
    <t xml:space="preserve">   Post Retirement Benefits:</t>
  </si>
  <si>
    <t xml:space="preserve">        SERP</t>
  </si>
  <si>
    <t xml:space="preserve">   Ad Valorem Taxes:</t>
  </si>
  <si>
    <t xml:space="preserve">        Property Tax: Calend Year - Book</t>
  </si>
  <si>
    <t xml:space="preserve">        Property Tax: Lien (Tax)</t>
  </si>
  <si>
    <t>Total Non-Property Related (Note 3)</t>
  </si>
  <si>
    <t>Sum Lines 2 thru 10</t>
  </si>
  <si>
    <t>Protected - Property Related - (Note 4)</t>
  </si>
  <si>
    <t xml:space="preserve">   Net Operating Loss</t>
  </si>
  <si>
    <t xml:space="preserve">   Accumulated Depreciation Timing Differences:</t>
  </si>
  <si>
    <t xml:space="preserve">        Depreciable Plant - Method/Life</t>
  </si>
  <si>
    <t xml:space="preserve">        Capitalized Interest</t>
  </si>
  <si>
    <t>Sub-Total</t>
  </si>
  <si>
    <t>Sum Lines 15 thru 18</t>
  </si>
  <si>
    <t>Unprotected - Property Related - (Note 4)</t>
  </si>
  <si>
    <t xml:space="preserve">  AFUDC Debt</t>
  </si>
  <si>
    <t xml:space="preserve">  Repairs</t>
  </si>
  <si>
    <t xml:space="preserve">  Other</t>
  </si>
  <si>
    <t>Sum Lines 22 thru 24</t>
  </si>
  <si>
    <t xml:space="preserve">  Cost of Removal - Book Accrual</t>
  </si>
  <si>
    <t>Total Property Related (Note 5)</t>
  </si>
  <si>
    <t>Line 19 + Line 25 + Line 28</t>
  </si>
  <si>
    <t>Grand Total (Note 6)</t>
  </si>
  <si>
    <t>Line 12 + Line 30</t>
  </si>
  <si>
    <t>Notes:</t>
  </si>
  <si>
    <t>1) In the event of future tax rate changes, transmission-related temporary differences can be added or removed to/from this worksheet without a Section 205 filing.</t>
  </si>
  <si>
    <t>3) Total company non-property, compensation and benefits related Accumulated Schedule M Adjustments are allocated to transmission using common account allocations, which are calculated using labor allocation ratios. In addition, a portion of total company property taxes</t>
  </si>
  <si>
    <t xml:space="preserve"> is allocated to transmission based on the proportion of the historical cost of electric transmission plant in service and CWIP to total system-wide taxable plant and CWIP.</t>
  </si>
  <si>
    <t>4) Amortized into rates under average rate assumption method (ARAM) over book life.</t>
  </si>
  <si>
    <t xml:space="preserve">5) FERC Account 282 ADIT balances shown above represent deferred taxes on electric transmission plant in service (excluding gross-up) that are largely driven by federal accelerated depreciation and computed in the tax depreciation software ("PowerTax"). The </t>
  </si>
  <si>
    <t>balances also include deferred taxes related to other adjustments such as repairs, capitalized interest, and AFUDC Debt, which are posted as basis adjustments in PowerTax and allocated to transmission in the system. In addition, like the non-plant ADIT,</t>
  </si>
  <si>
    <t>deferred taxes related to common plant such as computer hardware, facilities, and structures are allocated to transmission based on common plant allocation factors calculated using labor allocation ratios. The deficient ADIT related to the transmission Net Operating</t>
  </si>
  <si>
    <t>Loss in Account 190 is computed on a FERC transmission standalone basis.</t>
  </si>
  <si>
    <t>6) Balances reported in this worksheet do not include gross-up and the gross-up is not included in rate base. See below for demonstration of gross-up calculated on property and non-property related (excess)/deficient ADIT.</t>
  </si>
  <si>
    <t>g</t>
  </si>
  <si>
    <t>h</t>
  </si>
  <si>
    <t>i = f - 1</t>
  </si>
  <si>
    <t>j = g x i</t>
  </si>
  <si>
    <t>k = h x i</t>
  </si>
  <si>
    <t>Calculation of Gross-up Rate</t>
  </si>
  <si>
    <t>New Tax Rate</t>
  </si>
  <si>
    <t>Gross-up Rate</t>
  </si>
  <si>
    <t>Gross-up on Deficient Deferred Taxes - Acct 182.3</t>
  </si>
  <si>
    <t>Gross-up on (Excess) Deferred Taxes - Acct 254</t>
  </si>
  <si>
    <t>Federal Tax Rate</t>
  </si>
  <si>
    <t>Total Non-Property Related (Line No. 12)</t>
  </si>
  <si>
    <t>California Tax Rate</t>
  </si>
  <si>
    <t>Total Property Related (Line No. 30)</t>
  </si>
  <si>
    <t>Fed Offset of State Benefit</t>
  </si>
  <si>
    <t>c = -a x b</t>
  </si>
  <si>
    <t>Combined Statutory Tax Rate (net of state benefit)</t>
  </si>
  <si>
    <t>d = a+b+c</t>
  </si>
  <si>
    <t>Net of Tax Rate</t>
  </si>
  <si>
    <t>e = 1 - d</t>
  </si>
  <si>
    <t>f = 1/e</t>
  </si>
  <si>
    <t>FERC Order 864 Worksheet - Order 864-2</t>
  </si>
  <si>
    <t>New Tax Rate?</t>
  </si>
  <si>
    <t>New Rate ("NR"):</t>
  </si>
  <si>
    <t xml:space="preserve">New Tax Rate Adjustment Calculation </t>
  </si>
  <si>
    <t>= Col. 3 x (NR)</t>
  </si>
  <si>
    <t>= Col. 4 - Col. 5</t>
  </si>
  <si>
    <t>= Order 864-1 Col. 9</t>
  </si>
  <si>
    <t>= Col. 6 - Col. 7</t>
  </si>
  <si>
    <t>Gross Accumulated Schedule M Adjustments</t>
  </si>
  <si>
    <t>Ending ADIT Balances at Prior Tax Rate</t>
  </si>
  <si>
    <t>ADIT Balances at New Tax Rate</t>
  </si>
  <si>
    <t>Net (Excess)/ Deficient ADIT at New Tax Rate</t>
  </si>
  <si>
    <t>Net (Excess)/ Deficient ADIT at Prior Tax Rate</t>
  </si>
  <si>
    <t>Adjustment for New Tax Rate</t>
  </si>
  <si>
    <t>Instructions:</t>
  </si>
  <si>
    <r>
      <t xml:space="preserve">1) Populate this Schedule with inputs </t>
    </r>
    <r>
      <rPr>
        <u val="singleAccounting"/>
        <sz val="10"/>
        <rFont val="Times New Roman"/>
        <family val="1"/>
      </rPr>
      <t>only</t>
    </r>
    <r>
      <rPr>
        <sz val="10"/>
        <rFont val="Times New Roman"/>
        <family val="1"/>
      </rPr>
      <t xml:space="preserve"> in the event of a change in the Tax Rate from the previous year.</t>
    </r>
  </si>
  <si>
    <t>2) If no change in Tax Rate, enter "No" at top of Schedule (New Tax Rate Yes/No).</t>
  </si>
  <si>
    <t>FERC Order 864 Worksheet - Order 864-3</t>
  </si>
  <si>
    <t>= Order 864-4 Col. 8</t>
  </si>
  <si>
    <t>2) Non-plant related ADIT related to future tax rate changes was amortized into rates over one year. Non-plant related ADIT attributable to the 2017 Tax Cuts and Jobs Act was fully amortized on December 31, 2021.</t>
  </si>
  <si>
    <t>FERC Order 864 Worksheet - Order 864-4</t>
  </si>
  <si>
    <t>New Tax Rate Adjustment Calculation</t>
  </si>
  <si>
    <t>= Order 864-3 Col. 9</t>
  </si>
  <si>
    <t>Sum Lines 15 thru 19</t>
  </si>
  <si>
    <t>Sum Lines 23 thru 25</t>
  </si>
  <si>
    <t>Line 20 + Line 26 + Line 29</t>
  </si>
  <si>
    <t>Line 12 + Line 31</t>
  </si>
  <si>
    <r>
      <t xml:space="preserve">Total Prior Year Revenue Requirements Excluding FF&amp;U </t>
    </r>
    <r>
      <rPr>
        <b/>
        <vertAlign val="superscript"/>
        <sz val="12"/>
        <rFont val="Times New Roman"/>
        <family val="1"/>
      </rPr>
      <t>1</t>
    </r>
  </si>
  <si>
    <t>Franchise Fees</t>
  </si>
  <si>
    <t>Line 1 x Franchise Fee Rate</t>
  </si>
  <si>
    <t>Line 1 x Uncollectible Rate</t>
  </si>
  <si>
    <t>Total True-Up Cost of Service</t>
  </si>
  <si>
    <t>Calculations:</t>
  </si>
  <si>
    <t>= Line 4 / 12</t>
  </si>
  <si>
    <t>= Col. 4; Line 26 / 12</t>
  </si>
  <si>
    <t>= Sum Col. 3 thru Col. 5</t>
  </si>
  <si>
    <t>= Col. 2 - Col. 6</t>
  </si>
  <si>
    <t>See Footnote 6</t>
  </si>
  <si>
    <t>See Footnote 7</t>
  </si>
  <si>
    <t>= Col. 9 + Col. 10</t>
  </si>
  <si>
    <t>Cumulative</t>
  </si>
  <si>
    <t>Monthly</t>
  </si>
  <si>
    <t>Overcollection (-) or</t>
  </si>
  <si>
    <t>Prior</t>
  </si>
  <si>
    <t>Adjusted Monthly</t>
  </si>
  <si>
    <t>Undercollection (+)</t>
  </si>
  <si>
    <t>True-Up</t>
  </si>
  <si>
    <t>Prior Other</t>
  </si>
  <si>
    <t>Interest</t>
  </si>
  <si>
    <t>in Revenue</t>
  </si>
  <si>
    <t>Year</t>
  </si>
  <si>
    <t>Cost of Service</t>
  </si>
  <si>
    <r>
      <t>Adjustment</t>
    </r>
    <r>
      <rPr>
        <b/>
        <sz val="12"/>
        <rFont val="Times New Roman"/>
        <family val="1"/>
      </rPr>
      <t xml:space="preserve"> </t>
    </r>
    <r>
      <rPr>
        <b/>
        <vertAlign val="superscript"/>
        <sz val="12"/>
        <rFont val="Times New Roman"/>
        <family val="1"/>
      </rPr>
      <t>3</t>
    </r>
  </si>
  <si>
    <r>
      <t>BTRR Adjustments</t>
    </r>
    <r>
      <rPr>
        <b/>
        <sz val="12"/>
        <rFont val="Times New Roman"/>
        <family val="1"/>
      </rPr>
      <t xml:space="preserve"> </t>
    </r>
    <r>
      <rPr>
        <b/>
        <vertAlign val="superscript"/>
        <sz val="12"/>
        <rFont val="Times New Roman"/>
        <family val="1"/>
      </rPr>
      <t>4</t>
    </r>
  </si>
  <si>
    <t>Revenues</t>
  </si>
  <si>
    <r>
      <t>Rate</t>
    </r>
    <r>
      <rPr>
        <b/>
        <sz val="12"/>
        <rFont val="Times New Roman"/>
        <family val="1"/>
      </rPr>
      <t xml:space="preserve"> </t>
    </r>
    <r>
      <rPr>
        <b/>
        <vertAlign val="superscript"/>
        <sz val="12"/>
        <rFont val="Times New Roman"/>
        <family val="1"/>
      </rPr>
      <t>5</t>
    </r>
  </si>
  <si>
    <t>wo Interest</t>
  </si>
  <si>
    <t>with Interest</t>
  </si>
  <si>
    <t>January</t>
  </si>
  <si>
    <t>February</t>
  </si>
  <si>
    <t xml:space="preserve">March   </t>
  </si>
  <si>
    <t xml:space="preserve">April   </t>
  </si>
  <si>
    <t xml:space="preserve">May   </t>
  </si>
  <si>
    <t xml:space="preserve">June   </t>
  </si>
  <si>
    <t xml:space="preserve">July   </t>
  </si>
  <si>
    <t xml:space="preserve">August   </t>
  </si>
  <si>
    <t xml:space="preserve">September   </t>
  </si>
  <si>
    <t xml:space="preserve">October   </t>
  </si>
  <si>
    <t xml:space="preserve">November   </t>
  </si>
  <si>
    <t xml:space="preserve">December   </t>
  </si>
  <si>
    <t>The Total Prior Year Revenue Requirements ("PYRR") is for the 12-months ending Dec 31 for the applicable cycle filing base period and represents the actual cost of service for true-up purposes.</t>
  </si>
  <si>
    <t>Adjustment to back-out the prior year true-up adjustment that is included in the recorded monthly true-up revenues in Column 3.</t>
  </si>
  <si>
    <t>Rates specified on the FERC website pursuant to Section 35.19a of the Commission regulation.</t>
  </si>
  <si>
    <t>Derived using the prior month balance in Column 11 plus the current month balance in Column 7.</t>
  </si>
  <si>
    <t>Interest is calculated using an average of beginning and ending balances: 1) in month 1, the average is 1/2 of balance in Column 7; and 2) in subsequent months is the average of prior month balance in Column 11 and the current month balance in Column 9.</t>
  </si>
  <si>
    <t xml:space="preserve">Amounts </t>
  </si>
  <si>
    <t xml:space="preserve">     End of Prior Year Revenues (PYRR EU) Excluding FF&amp;U</t>
  </si>
  <si>
    <t>Total Transmission Rate Base</t>
  </si>
  <si>
    <r>
      <t>B. Incentive Project Transmission Plant:</t>
    </r>
    <r>
      <rPr>
        <b/>
        <vertAlign val="superscript"/>
        <sz val="12"/>
        <rFont val="Times New Roman"/>
        <family val="1"/>
      </rPr>
      <t xml:space="preserve"> 1</t>
    </r>
  </si>
  <si>
    <t>The Incentive ROE Transmission Plant and depreciation reserve will be tracked and shown for each incentive project and lines 23 through 25 will be repeated for each project.</t>
  </si>
  <si>
    <t>Statement AF - Proration</t>
  </si>
  <si>
    <t>Col. 5 / Tot. Days</t>
  </si>
  <si>
    <t>= Col. 2 * Col. 6</t>
  </si>
  <si>
    <t>Mthly Deferred</t>
  </si>
  <si>
    <t xml:space="preserve">Deferred </t>
  </si>
  <si>
    <t>Number of Days</t>
  </si>
  <si>
    <t>Prorata</t>
  </si>
  <si>
    <t xml:space="preserve">Monthly </t>
  </si>
  <si>
    <t>Annual Accumulated</t>
  </si>
  <si>
    <t>Future Test Period</t>
  </si>
  <si>
    <r>
      <t>Tax Amount</t>
    </r>
    <r>
      <rPr>
        <b/>
        <vertAlign val="superscript"/>
        <sz val="12"/>
        <rFont val="Times New Roman"/>
        <family val="1"/>
      </rPr>
      <t xml:space="preserve"> 1</t>
    </r>
  </si>
  <si>
    <r>
      <t>Tax Balance</t>
    </r>
    <r>
      <rPr>
        <b/>
        <vertAlign val="superscript"/>
        <sz val="12"/>
        <rFont val="Times New Roman"/>
        <family val="1"/>
      </rPr>
      <t xml:space="preserve"> </t>
    </r>
    <r>
      <rPr>
        <vertAlign val="superscript"/>
        <sz val="12"/>
        <rFont val="Times New Roman"/>
        <family val="1"/>
      </rPr>
      <t>2</t>
    </r>
  </si>
  <si>
    <t>Days in Month</t>
  </si>
  <si>
    <t>Left in Period</t>
  </si>
  <si>
    <t>Percentages</t>
  </si>
  <si>
    <t>Prorata Amounts</t>
  </si>
  <si>
    <t>Prorata Calculation</t>
  </si>
  <si>
    <t>March</t>
  </si>
  <si>
    <t>April</t>
  </si>
  <si>
    <t>June</t>
  </si>
  <si>
    <t>July</t>
  </si>
  <si>
    <t>August</t>
  </si>
  <si>
    <t>September</t>
  </si>
  <si>
    <t>October</t>
  </si>
  <si>
    <t>November</t>
  </si>
  <si>
    <t>December</t>
  </si>
  <si>
    <t>The monthly deferred tax amounts are equal to the ending ADIT balance minus the beginning ADIT balance, divided by 12 months.</t>
  </si>
  <si>
    <t>January through December equals previous month balance plus amount in Column 2.</t>
  </si>
  <si>
    <t xml:space="preserve"> Statement AV</t>
  </si>
  <si>
    <t>LTD = Long Term Debt</t>
  </si>
  <si>
    <t>i = LTD interest</t>
  </si>
  <si>
    <t>Cost of Preferred Equity</t>
  </si>
  <si>
    <t>CS = Common Stock</t>
  </si>
  <si>
    <t>Return on Common Equity:</t>
  </si>
  <si>
    <t>Total Capital</t>
  </si>
  <si>
    <t>SAN DIEGO GAS AND ELECTRIC COMPANY</t>
  </si>
  <si>
    <t>a. Federal Income Tax Component:</t>
  </si>
  <si>
    <t xml:space="preserve">     B = Trans. Amount of Other Federal Tax Adjustments</t>
  </si>
  <si>
    <t>TO5 True-Up BK-1; Page 3; Line 27</t>
  </si>
  <si>
    <t xml:space="preserve">     FT = Federal Income Tax Rate</t>
  </si>
  <si>
    <t xml:space="preserve">                                                               (1 - ST)</t>
  </si>
  <si>
    <t>TO5 True-Up BK-1; Page 3; Line 32</t>
  </si>
  <si>
    <t>See Footnote 2</t>
  </si>
  <si>
    <t>See Footnote 3</t>
  </si>
  <si>
    <t>See Footnote 4</t>
  </si>
  <si>
    <t>= Col. 4 + Col. 5</t>
  </si>
  <si>
    <t>Prior Cycle</t>
  </si>
  <si>
    <t>Cumulative Overcollection (-) or</t>
  </si>
  <si>
    <t>True Up</t>
  </si>
  <si>
    <t>Undercollection (+) in Revenue</t>
  </si>
  <si>
    <r>
      <t>Adjustment</t>
    </r>
    <r>
      <rPr>
        <b/>
        <sz val="12"/>
        <rFont val="Times New Roman"/>
        <family val="1"/>
      </rPr>
      <t xml:space="preserve"> </t>
    </r>
    <r>
      <rPr>
        <b/>
        <vertAlign val="superscript"/>
        <sz val="12"/>
        <rFont val="Times New Roman"/>
        <family val="1"/>
      </rPr>
      <t>1</t>
    </r>
  </si>
  <si>
    <t xml:space="preserve">June </t>
  </si>
  <si>
    <t>Represents the true-up adjustment from the previous annual cycle filing. SDG&amp;E accrues interest until the amount is fully collected/refunded in rates.</t>
  </si>
  <si>
    <t>The Cumulative Overcollection / Undercollection is: 1) the beginning balance in Column 2 for January; and 2) the previous month balance in Column 6 for all subsequent months.</t>
  </si>
  <si>
    <t>Interest is calculated using an average of beginning and ending balances: 1) January uses the entire balance from Column 4; and 2) subsequent months use the average of the prior month balance in</t>
  </si>
  <si>
    <t>Column 6 and the current month balance from Column 4.</t>
  </si>
  <si>
    <t>= - (Col. 4 + Col. 6)</t>
  </si>
  <si>
    <t>= Col. 2 x Col. 3</t>
  </si>
  <si>
    <t>= Col. 3 - Col. 5</t>
  </si>
  <si>
    <t>Beginning</t>
  </si>
  <si>
    <t>Ending</t>
  </si>
  <si>
    <r>
      <t>Rate</t>
    </r>
    <r>
      <rPr>
        <b/>
        <sz val="12"/>
        <rFont val="Times New Roman"/>
        <family val="1"/>
      </rPr>
      <t xml:space="preserve"> </t>
    </r>
    <r>
      <rPr>
        <b/>
        <vertAlign val="superscript"/>
        <sz val="12"/>
        <rFont val="Times New Roman"/>
        <family val="1"/>
      </rPr>
      <t>1</t>
    </r>
  </si>
  <si>
    <t>Amortization</t>
  </si>
  <si>
    <t>Principal</t>
  </si>
  <si>
    <t>True Up Adjustment</t>
  </si>
  <si>
    <t>Base Period True-Up Adjustment Calculation; Line 25; Col. 11</t>
  </si>
  <si>
    <t>Interest True Up Adjustment</t>
  </si>
  <si>
    <t>Interest True-Up Adjustment - Base Period; Line 19; Col. 5 + Interest True-Up Adjustment - Current Year; Line 19; Col. 6</t>
  </si>
  <si>
    <t>Rate is an average of the base period FERC Rates presented in the True-Up workpaper in Column 7 to derive a more accurate and consistent amortization amount (Column 4).</t>
  </si>
  <si>
    <t>The Beginning Balance  is: 1) the balance in Column 6; Line 18 from the Interest True-Up Base Period for January; and 2) the balance from previous month in Column 7 of this workpaper for all</t>
  </si>
  <si>
    <t>subsequent months.</t>
  </si>
  <si>
    <t>Amortization reduces the beginning balance to zero by the end of December and is derived as follows:</t>
  </si>
  <si>
    <t>Beginning Balance/{[(1+Rate)^12-1]/[Rate*(1+Rate)^12]}.</t>
  </si>
  <si>
    <t>SUMMARY OF HV - LV TRANSMISSION PLANT ALLOCATION STUDY</t>
  </si>
  <si>
    <t xml:space="preserve">(a) = (b) + (c) </t>
  </si>
  <si>
    <t xml:space="preserve">(c) </t>
  </si>
  <si>
    <t>$'s in TRANSMISSION</t>
  </si>
  <si>
    <t>LOW VOLTAGE</t>
  </si>
  <si>
    <t>HIGH VOLTAGE</t>
  </si>
  <si>
    <t>Substation</t>
  </si>
  <si>
    <t>&lt; 200 kv</t>
  </si>
  <si>
    <t>&gt; 200 kv</t>
  </si>
  <si>
    <t>TOTAL SUBSTATIONS</t>
  </si>
  <si>
    <r>
      <t xml:space="preserve">TRANSMISSION TOWERS and LAND </t>
    </r>
    <r>
      <rPr>
        <b/>
        <vertAlign val="superscript"/>
        <sz val="12"/>
        <rFont val="Times New Roman"/>
        <family val="1"/>
      </rPr>
      <t>2</t>
    </r>
  </si>
  <si>
    <t>NON-UNITIZED</t>
  </si>
  <si>
    <t>TOTAL TRANSMISSION PLANT</t>
  </si>
  <si>
    <t>PERCENTAGES</t>
  </si>
  <si>
    <t xml:space="preserve">Transmission Towers &amp; Land consists of: 1) Directly assigned assets identifiable as high or low based on the voltage of the transmission line, 2) Towers and land assets that have </t>
  </si>
  <si>
    <t>both high and low facilities are allocated 2/3rd high and 1/3rd low, and 3) The remaining transmission assets not identifiable as high or low are all assigned to low voltage.</t>
  </si>
  <si>
    <t>Summary of HV/LV Splits for Forecast Plant Additions</t>
  </si>
  <si>
    <t>(f) = (d) + (e)</t>
  </si>
  <si>
    <t>Gross</t>
  </si>
  <si>
    <t>Unweighted</t>
  </si>
  <si>
    <t>HV</t>
  </si>
  <si>
    <t>LV</t>
  </si>
  <si>
    <t>Wtd-HV</t>
  </si>
  <si>
    <t>Wtd-LV</t>
  </si>
  <si>
    <t>Non-Incentive Projects:</t>
  </si>
  <si>
    <t>Forecast Period - Transmission Plant Additions</t>
  </si>
  <si>
    <t>See Footnote 1</t>
  </si>
  <si>
    <t>Forecast Period - Transmission Related General; Common; and Electric Misc. Intangible Plant</t>
  </si>
  <si>
    <t xml:space="preserve">     Sub-Total Non-Incentive Projects Forecast Plant Additions</t>
  </si>
  <si>
    <t>Incentive Projects:</t>
  </si>
  <si>
    <t xml:space="preserve">Forecast Period - Incentive Transmission Plant Additions </t>
  </si>
  <si>
    <t>Forecast Period - Incentive Transmission CWIP for the period after the base period and before the effective period</t>
  </si>
  <si>
    <t>Forecast Period - Incentive Transmission CWIP for the period during the rate effective period</t>
  </si>
  <si>
    <t>See Footnote 5</t>
  </si>
  <si>
    <t xml:space="preserve">     Sub-Total Incentive Projects Forecast Plant Additions</t>
  </si>
  <si>
    <t>Sum Lines 8 thru 12</t>
  </si>
  <si>
    <t>Line 5 + Line 14</t>
  </si>
  <si>
    <t>HV = Line 16; Col. d / Line 16; Col. f</t>
  </si>
  <si>
    <t>HV/LV Ratio (Weighted Transmission Forecast Plant Additions)</t>
  </si>
  <si>
    <t>LV = Line 16; Col. e / Line 16; Col. f</t>
  </si>
  <si>
    <t>See Summary of Weighted Transmission Plant Additions Workpaper; Line 25.</t>
  </si>
  <si>
    <t>See Summary of Weighted Transmission Related Common, General and Electric Miscellaneous Intangible Plant Additions Workpaper; Line 25.</t>
  </si>
  <si>
    <t>See Summary of Weighted Incentive Transmission Plant Additions Workpaper; Line 25.</t>
  </si>
  <si>
    <t>See Summary of Weighted Incentive Transmission CWIP - A Workpaper; Line 25.</t>
  </si>
  <si>
    <t>See Summary of Weighted Incentive Transmission CWIP - B Workpaper; Line 25.</t>
  </si>
  <si>
    <t>Derivation of Weighted Plant Additions</t>
  </si>
  <si>
    <t>Summary of Weighted Transmission Plant Additions</t>
  </si>
  <si>
    <r>
      <t xml:space="preserve">Gross Forecast Plant Additions </t>
    </r>
    <r>
      <rPr>
        <b/>
        <vertAlign val="superscript"/>
        <sz val="12"/>
        <rFont val="Times New Roman"/>
        <family val="1"/>
      </rPr>
      <t>1</t>
    </r>
  </si>
  <si>
    <t>Retirements</t>
  </si>
  <si>
    <t>Net Forecast Plant Additions</t>
  </si>
  <si>
    <t>Weighting</t>
  </si>
  <si>
    <t>Weighted Net Forecast Plant Additions</t>
  </si>
  <si>
    <t>Date</t>
  </si>
  <si>
    <t>Factor</t>
  </si>
  <si>
    <t xml:space="preserve">Total Retirement </t>
  </si>
  <si>
    <t>Form 1; Page 204-207; Line 58; Col. d</t>
  </si>
  <si>
    <t>Total Gross Plant</t>
  </si>
  <si>
    <t>Form 1; Page 204-207; Line 58; Col. g</t>
  </si>
  <si>
    <t>Retirement Rate:</t>
  </si>
  <si>
    <t>Line 27 / Line 29</t>
  </si>
  <si>
    <t>Summary of Transmission Plant Additions:</t>
  </si>
  <si>
    <t>Net HV</t>
  </si>
  <si>
    <t>Net LV</t>
  </si>
  <si>
    <t>Wtd-Total</t>
  </si>
  <si>
    <t>Net - Electric Transmission Plant</t>
  </si>
  <si>
    <t xml:space="preserve">   Total</t>
  </si>
  <si>
    <t xml:space="preserve">Summary of Weighted Transmission Related Common, General and Electric Miscellaneous Intangible Plant Additions </t>
  </si>
  <si>
    <t>Summary of Transmission Related Common, General, &amp; Electric</t>
  </si>
  <si>
    <t>Intangible Plant Additions:</t>
  </si>
  <si>
    <t>Summary of Weighted Incentive Transmission Plant Additions</t>
  </si>
  <si>
    <t xml:space="preserve">Gross Forecast Plant Additions </t>
  </si>
  <si>
    <t>Summary of Weighted Incentive Transmission CWIP</t>
  </si>
  <si>
    <t>For the Period After the Base Period and Before the Effective Period</t>
  </si>
  <si>
    <t>For the Period During the Rate Effective Period</t>
  </si>
  <si>
    <t>454</t>
  </si>
  <si>
    <t>Rent for Prop Use</t>
  </si>
  <si>
    <t>Elec Lnd Serv Row RE</t>
  </si>
  <si>
    <t>AU-1; Page 2; Line 6; Col. m</t>
  </si>
  <si>
    <t xml:space="preserve">Property is reflected in Col. (m) of this schedule. </t>
  </si>
  <si>
    <t>Duplicate Charges</t>
  </si>
  <si>
    <t>Ties to Statement AD Workpapers; AD-6, Line 13; Ratemaking. That is, Line 32; Col. a shown above ties to the ratemaking plant in service.</t>
  </si>
  <si>
    <t>Line 32; Col. b / Line 32; Col. a</t>
  </si>
  <si>
    <t>Line 32; Col. c / Line 32; Col. a</t>
  </si>
  <si>
    <t xml:space="preserve">Uncollectible Expense </t>
  </si>
  <si>
    <t>Property tax expense excludes Citizens property taxes as shown in FERC Form 1; Page 262-263; Footnote Data (e).</t>
  </si>
  <si>
    <t>Payroll tax expense excludes Citizens payroll taxes as shown in FERC Form 1; Page 262-263; Footnote Data (d).</t>
  </si>
  <si>
    <t>2) Non-plant related ADIT related to future tax rate changes will be amortized into rates over one year. Non-plant related ADIT attributable to the 2017 Tax Cuts and Jobs Act was fully amortized by December 31, 2021.</t>
  </si>
  <si>
    <t>BAY BOULEVARD</t>
  </si>
  <si>
    <t>ECO SUBSTATION</t>
  </si>
  <si>
    <t>ENCINA</t>
  </si>
  <si>
    <t>ESCONDIDO</t>
  </si>
  <si>
    <t>IMP VLY</t>
  </si>
  <si>
    <t>MIGUEL</t>
  </si>
  <si>
    <t>MISSION</t>
  </si>
  <si>
    <t>NO GILA</t>
  </si>
  <si>
    <t>NV-DESERT STAR EC</t>
  </si>
  <si>
    <t>NV-MERCHANT SWITCHARD</t>
  </si>
  <si>
    <t>OCOTILLO 500KV SWITCHYARD</t>
  </si>
  <si>
    <t>OLD TOWN</t>
  </si>
  <si>
    <t>OTAY MESA</t>
  </si>
  <si>
    <t>PALA</t>
  </si>
  <si>
    <t>PALO VERDE</t>
  </si>
  <si>
    <t>PALOMAR ENERGY</t>
  </si>
  <si>
    <t>PENASQUITOS</t>
  </si>
  <si>
    <t>SAN LUIS REY</t>
  </si>
  <si>
    <t>SAN ONOFRE</t>
  </si>
  <si>
    <t>SILVERGATE</t>
  </si>
  <si>
    <t>SUNCREST</t>
  </si>
  <si>
    <t>SYCAMORE CANYON</t>
  </si>
  <si>
    <t>TALEGA</t>
  </si>
  <si>
    <t>LV SUBSTATIONS</t>
  </si>
  <si>
    <t>Negative of AH-1; Line 33; Col. b</t>
  </si>
  <si>
    <t>Computer Hardware</t>
  </si>
  <si>
    <t>Computer Software</t>
  </si>
  <si>
    <t>Communication Equipment</t>
  </si>
  <si>
    <t>Adjusted Return and Associated Income Taxes</t>
  </si>
  <si>
    <t>Return and Associated Income Taxes</t>
  </si>
  <si>
    <t>Adjustments to Per Book Transmission O&amp;M Expense</t>
  </si>
  <si>
    <t>Sum Lines 2 thru 4</t>
  </si>
  <si>
    <t>Adjustments to Per Book A&amp;G Expense</t>
  </si>
  <si>
    <r>
      <t xml:space="preserve">CPUC Intervenor Funding Expense - Transmission </t>
    </r>
    <r>
      <rPr>
        <b/>
        <vertAlign val="superscript"/>
        <sz val="12"/>
        <rFont val="Times New Roman"/>
        <family val="1"/>
      </rPr>
      <t>1</t>
    </r>
  </si>
  <si>
    <t>Statement AH; Line 5</t>
  </si>
  <si>
    <t>Negative of Statement AH; Line 10</t>
  </si>
  <si>
    <t>Sum Lines 9 thru 20</t>
  </si>
  <si>
    <t>Line 7 + Line 22</t>
  </si>
  <si>
    <t>Sum Lines 10 thru 21</t>
  </si>
  <si>
    <t>Line 8 + Line 23</t>
  </si>
  <si>
    <t>The rates in these subaccounts will not change during the term of the TO6 Formula.</t>
  </si>
  <si>
    <t>TO6 - Annual Transmission Plant Depreciation Rates</t>
  </si>
  <si>
    <t>TO6 - Annual Intangible Plant Authorized Amortization Period</t>
  </si>
  <si>
    <t>TO6 - Annual General Plant Depreciation Rates</t>
  </si>
  <si>
    <t>TO6 - Annual Common Plant Depreciation Rates</t>
  </si>
  <si>
    <r>
      <t xml:space="preserve">Cost of Capital Rate </t>
    </r>
    <r>
      <rPr>
        <vertAlign val="subscript"/>
        <sz val="12"/>
        <rFont val="Times New Roman"/>
        <family val="1"/>
      </rPr>
      <t>(COCR)</t>
    </r>
  </si>
  <si>
    <t>C. Total Federal &amp; State Income Tax Rate</t>
  </si>
  <si>
    <t>D. Total Weighted Cost of Capital</t>
  </si>
  <si>
    <t>D. Total Incentive Weighted Cost of Capital</t>
  </si>
  <si>
    <t xml:space="preserve">     Incentive Transmission Forecast CWIP Projects Revenue Requirements</t>
  </si>
  <si>
    <t xml:space="preserve">    Federal Income Tax Expense</t>
  </si>
  <si>
    <t>Line 9 x Line 12</t>
  </si>
  <si>
    <t xml:space="preserve">    State Income Tax Expense</t>
  </si>
  <si>
    <t>Line 9 x Line 25</t>
  </si>
  <si>
    <t xml:space="preserve">       Total Federal &amp; State Income Tax Expense</t>
  </si>
  <si>
    <t>Line 9 x Line 34</t>
  </si>
  <si>
    <t>Line 25 x Line 27</t>
  </si>
  <si>
    <t>TO5 True-Up BK-1; Page 2; Line 39</t>
  </si>
  <si>
    <t>True-Up Stmt AV; Page 3; Line 32</t>
  </si>
  <si>
    <t>ANNUAL FIXED CHARGES APPLICABLE TO INCENTIVE CAPITAL PROJECTS</t>
  </si>
  <si>
    <t xml:space="preserve">   Return on Rate Base</t>
  </si>
  <si>
    <t>TO5 Offer of Settlement; Section II.A.1.5.1</t>
  </si>
  <si>
    <t>Cost of Equity Component (Preferred &amp; Common):</t>
  </si>
  <si>
    <t>Shall be Zero for ROE Adder</t>
  </si>
  <si>
    <t>Col. c = Line 45 Above</t>
  </si>
  <si>
    <t>Sum Lines 50 thru 52</t>
  </si>
  <si>
    <t>Incentive Cost of Equity Component (Preferred &amp; Common):</t>
  </si>
  <si>
    <t>Line 52; Col. d</t>
  </si>
  <si>
    <r>
      <t>Incentive Return on Common Equity:</t>
    </r>
    <r>
      <rPr>
        <sz val="12"/>
        <rFont val="Times New Roman"/>
        <family val="1"/>
      </rPr>
      <t xml:space="preserve"> </t>
    </r>
    <r>
      <rPr>
        <b/>
        <vertAlign val="superscript"/>
        <sz val="12"/>
        <rFont val="Times New Roman"/>
        <family val="1"/>
      </rPr>
      <t>1</t>
    </r>
  </si>
  <si>
    <r>
      <t xml:space="preserve">Amounts </t>
    </r>
    <r>
      <rPr>
        <b/>
        <vertAlign val="superscript"/>
        <sz val="12"/>
        <rFont val="Times New Roman"/>
        <family val="1"/>
      </rPr>
      <t>2</t>
    </r>
  </si>
  <si>
    <t>Col. c = Page 1, Line 17</t>
  </si>
  <si>
    <t>Col. c = Page 1, Line 22</t>
  </si>
  <si>
    <t>Col. c = Line 1 Above</t>
  </si>
  <si>
    <t>Sum Lines 6 thru 8</t>
  </si>
  <si>
    <t>Line 7 + Line 8; Col. d</t>
  </si>
  <si>
    <r>
      <t>CAISO Participation ROE Adder:</t>
    </r>
    <r>
      <rPr>
        <sz val="12"/>
        <rFont val="Times New Roman"/>
        <family val="1"/>
      </rPr>
      <t xml:space="preserve"> </t>
    </r>
  </si>
  <si>
    <t>Order No. 679, 116 FERC ¶ 61,057 at P 326</t>
  </si>
  <si>
    <t>Col. c = Line 14 Above</t>
  </si>
  <si>
    <t>Cost of Common Equity Component (CAISO Participation ROE Adder):</t>
  </si>
  <si>
    <t>Line 21; Col. d</t>
  </si>
  <si>
    <t>The Incentive Return on Common Equity will be tracked and shown separately for each project. As a result, lines 1 through 24 will be repeated for each project.</t>
  </si>
  <si>
    <r>
      <t xml:space="preserve">Cost of Capital Rate </t>
    </r>
    <r>
      <rPr>
        <u/>
        <vertAlign val="subscript"/>
        <sz val="12"/>
        <rFont val="Times New Roman"/>
        <family val="1"/>
      </rPr>
      <t>(COCR)</t>
    </r>
    <r>
      <rPr>
        <u/>
        <sz val="12"/>
        <rFont val="Times New Roman"/>
        <family val="1"/>
      </rPr>
      <t xml:space="preserve"> Calculation - Base ROE:</t>
    </r>
  </si>
  <si>
    <t>Page 1; Line 42</t>
  </si>
  <si>
    <t>C. Total Federal &amp; State Income Tax Rate:</t>
  </si>
  <si>
    <t>D. Total Weighted Cost of Capital:</t>
  </si>
  <si>
    <t>Page 1; Line 40</t>
  </si>
  <si>
    <r>
      <t xml:space="preserve">E. Cost of Capital Rate </t>
    </r>
    <r>
      <rPr>
        <u/>
        <vertAlign val="subscript"/>
        <sz val="12"/>
        <rFont val="Times New Roman"/>
        <family val="1"/>
      </rPr>
      <t>(COCR)</t>
    </r>
    <r>
      <rPr>
        <u/>
        <sz val="12"/>
        <rFont val="Times New Roman"/>
        <family val="1"/>
      </rPr>
      <t xml:space="preserve"> - Base ROE:</t>
    </r>
  </si>
  <si>
    <t>Line 28 + Line 30</t>
  </si>
  <si>
    <r>
      <t xml:space="preserve">Cost of Capital Rate </t>
    </r>
    <r>
      <rPr>
        <u/>
        <vertAlign val="subscript"/>
        <sz val="12"/>
        <rFont val="Times New Roman"/>
        <family val="1"/>
      </rPr>
      <t>(COCR)</t>
    </r>
    <r>
      <rPr>
        <u/>
        <sz val="12"/>
        <rFont val="Times New Roman"/>
        <family val="1"/>
      </rPr>
      <t xml:space="preserve"> Calculation - CAISO Participation ROE Adder:</t>
    </r>
  </si>
  <si>
    <t xml:space="preserve">     A = Cost of Common Equity Component - CAISO Participation ROE Adder</t>
  </si>
  <si>
    <t>Page 1; Line 55</t>
  </si>
  <si>
    <t>Line 40 Above</t>
  </si>
  <si>
    <t>Line 42 Above</t>
  </si>
  <si>
    <t>Line 43 Above</t>
  </si>
  <si>
    <t>Line 46 Above</t>
  </si>
  <si>
    <t>Line 46 + Line 59</t>
  </si>
  <si>
    <t>D. Total Weighted Cost of Common Equity - CAISO Participation ROE Adder:</t>
  </si>
  <si>
    <t>Page 1; Line 53</t>
  </si>
  <si>
    <r>
      <t xml:space="preserve">E. Cost of Capital Rate </t>
    </r>
    <r>
      <rPr>
        <u/>
        <vertAlign val="subscript"/>
        <sz val="12"/>
        <rFont val="Times New Roman"/>
        <family val="1"/>
      </rPr>
      <t>(COCR)</t>
    </r>
    <r>
      <rPr>
        <u/>
        <sz val="12"/>
        <rFont val="Times New Roman"/>
        <family val="1"/>
      </rPr>
      <t xml:space="preserve"> - CAISO Participation ROE Adder:</t>
    </r>
  </si>
  <si>
    <t>Line 62 + Line 64</t>
  </si>
  <si>
    <r>
      <t xml:space="preserve">Incentive Cost of Capital Rate </t>
    </r>
    <r>
      <rPr>
        <u/>
        <vertAlign val="subscript"/>
        <sz val="12"/>
        <rFont val="Times New Roman"/>
        <family val="1"/>
      </rPr>
      <t>(ICOCR)</t>
    </r>
    <r>
      <rPr>
        <u/>
        <sz val="12"/>
        <rFont val="Times New Roman"/>
        <family val="1"/>
      </rPr>
      <t xml:space="preserve"> Calculation - Base ROE:</t>
    </r>
    <r>
      <rPr>
        <sz val="12"/>
        <rFont val="Times New Roman"/>
        <family val="1"/>
      </rPr>
      <t xml:space="preserve"> </t>
    </r>
    <r>
      <rPr>
        <b/>
        <vertAlign val="superscript"/>
        <sz val="12"/>
        <rFont val="Times New Roman"/>
        <family val="1"/>
      </rPr>
      <t>1</t>
    </r>
  </si>
  <si>
    <t>Page 2; Line 11</t>
  </si>
  <si>
    <t>Page 3; Line 10</t>
  </si>
  <si>
    <t>Page 3; Line 23</t>
  </si>
  <si>
    <t>D. Total Incentive Weighted Cost of Capital:</t>
  </si>
  <si>
    <t>Page 2; Line 9</t>
  </si>
  <si>
    <r>
      <t xml:space="preserve">E. Incentive Cost of Capital Rate </t>
    </r>
    <r>
      <rPr>
        <u/>
        <vertAlign val="subscript"/>
        <sz val="12"/>
        <rFont val="Times New Roman"/>
        <family val="1"/>
      </rPr>
      <t>(ICOCR)</t>
    </r>
    <r>
      <rPr>
        <u/>
        <sz val="12"/>
        <rFont val="Times New Roman"/>
        <family val="1"/>
      </rPr>
      <t xml:space="preserve"> - Base ROE:</t>
    </r>
  </si>
  <si>
    <t>Page 2; Line 24</t>
  </si>
  <si>
    <t>Page 3; Line 44</t>
  </si>
  <si>
    <t>Page 3; Line 57</t>
  </si>
  <si>
    <t>Page 2; Line 22</t>
  </si>
  <si>
    <t>The Incentive Cost of Capital Rate calculation will be tracked and shown separately for each project. As a result, lines 1 through 66 will be repeated for each project.</t>
  </si>
  <si>
    <r>
      <t xml:space="preserve">Cost of Capital Rate </t>
    </r>
    <r>
      <rPr>
        <vertAlign val="subscript"/>
        <sz val="12"/>
        <rFont val="Times New Roman"/>
        <family val="1"/>
      </rPr>
      <t>(COCR)</t>
    </r>
    <r>
      <rPr>
        <sz val="12"/>
        <rFont val="Times New Roman"/>
        <family val="1"/>
      </rPr>
      <t xml:space="preserve"> - Base ROE</t>
    </r>
  </si>
  <si>
    <t xml:space="preserve">     Return and Associated Income Taxes - Base ROE</t>
  </si>
  <si>
    <r>
      <t xml:space="preserve">Cost of Capital Rate </t>
    </r>
    <r>
      <rPr>
        <vertAlign val="subscript"/>
        <sz val="12"/>
        <rFont val="Times New Roman"/>
        <family val="1"/>
      </rPr>
      <t>(COCR)</t>
    </r>
    <r>
      <rPr>
        <sz val="12"/>
        <rFont val="Times New Roman"/>
        <family val="1"/>
      </rPr>
      <t xml:space="preserve"> - CAISO Participation ROE Adder</t>
    </r>
  </si>
  <si>
    <t>True-Up Stmt AV; Page 3; Line 66</t>
  </si>
  <si>
    <t>Page 3; Line 27 - Line 10</t>
  </si>
  <si>
    <t xml:space="preserve">     Return and Associated Income Taxes - CAISO Participation ROE Adder</t>
  </si>
  <si>
    <t>Line 21 x Line 22</t>
  </si>
  <si>
    <r>
      <t xml:space="preserve">Incentive Cost of Capital Rate </t>
    </r>
    <r>
      <rPr>
        <vertAlign val="subscript"/>
        <sz val="12"/>
        <rFont val="Times New Roman"/>
        <family val="1"/>
      </rPr>
      <t>(ICOCR)</t>
    </r>
    <r>
      <rPr>
        <sz val="12"/>
        <rFont val="Times New Roman"/>
        <family val="1"/>
      </rPr>
      <t xml:space="preserve"> - Base ROE</t>
    </r>
  </si>
  <si>
    <t>True-Up Stmt AV; Page 4; Line 32</t>
  </si>
  <si>
    <t>Total Incentive ROE Project Transmission Rate Base</t>
  </si>
  <si>
    <t>Page 3; Line 32</t>
  </si>
  <si>
    <t xml:space="preserve">     Incentive ROE Project Return and Associated Income Taxes - Base ROE</t>
  </si>
  <si>
    <t>Line 3 x Line 4</t>
  </si>
  <si>
    <t>True-Up Stmt AV; Page 4; Line 66</t>
  </si>
  <si>
    <t>Line 1 + Line 5 + Line 9</t>
  </si>
  <si>
    <t xml:space="preserve">     Incentive Trans. Plant Aband. Proj. Return &amp; Assoc. Inc. Taxes - Base ROE</t>
  </si>
  <si>
    <t>Line 16 x Line 17</t>
  </si>
  <si>
    <t xml:space="preserve">     Incentive Trans. Plant Aband. Proj. Return &amp; Assoc. Inc. Taxes - CAISO Participation ROE Adder</t>
  </si>
  <si>
    <t>Line 20 x Line 21</t>
  </si>
  <si>
    <t>Line 14 + Line 18 + Line 22</t>
  </si>
  <si>
    <t xml:space="preserve">     Incentive CWIP Return and Associated Income Taxes - Base ROE</t>
  </si>
  <si>
    <t>Line 27 x Line 28</t>
  </si>
  <si>
    <t xml:space="preserve">     Incentive CWIP Return and Associated Income Taxes - CAISO Participation ROE Adder</t>
  </si>
  <si>
    <t>Line 31 x Line 32</t>
  </si>
  <si>
    <t>Line 29 + Line 33</t>
  </si>
  <si>
    <t>Sum Lines 11, 24, 35</t>
  </si>
  <si>
    <t>Line 15 + Line 19 + Line 23 + (Sum Lines 25 thru 28)</t>
  </si>
  <si>
    <t>Line 2 - Line 9</t>
  </si>
  <si>
    <t>Line 3 - Line 10</t>
  </si>
  <si>
    <t>Line 4 - Line 11</t>
  </si>
  <si>
    <t>Line 5 - Line 12</t>
  </si>
  <si>
    <t>Line 23 - Line 24</t>
  </si>
  <si>
    <t>Summary of HV/LV Plant Allocation Study; Line 34; Col. c and b</t>
  </si>
  <si>
    <t>AJ-1; Line 15</t>
  </si>
  <si>
    <t>AJ-5; Line 15</t>
  </si>
  <si>
    <t>Page 1; Line 30 + Line 37</t>
  </si>
  <si>
    <t>The HV/LV Gross Forecast Plant Additions information from January 2024 through December 2025 comes from the Summary of Monthly Common, General, and Electric Intangible Forecast Plant Additions Work Papers.</t>
  </si>
  <si>
    <r>
      <t xml:space="preserve">Total Property Taxes Expense </t>
    </r>
    <r>
      <rPr>
        <b/>
        <vertAlign val="superscript"/>
        <sz val="12"/>
        <rFont val="Times New Roman"/>
        <family val="1"/>
      </rPr>
      <t>1</t>
    </r>
  </si>
  <si>
    <t>Line 8 x Line 10</t>
  </si>
  <si>
    <r>
      <t xml:space="preserve">Total Payroll Taxes Expense </t>
    </r>
    <r>
      <rPr>
        <b/>
        <vertAlign val="superscript"/>
        <sz val="12"/>
        <rFont val="Times New Roman"/>
        <family val="1"/>
      </rPr>
      <t>2</t>
    </r>
  </si>
  <si>
    <t>Line 28 + Line 34</t>
  </si>
  <si>
    <t>Line 26 x Line 28</t>
  </si>
  <si>
    <t>Add back ADIT</t>
  </si>
  <si>
    <t>STATEMENT AF</t>
  </si>
  <si>
    <r>
      <t xml:space="preserve">FERC Account 282 - Property Related </t>
    </r>
    <r>
      <rPr>
        <b/>
        <vertAlign val="superscript"/>
        <sz val="12"/>
        <rFont val="Times New Roman"/>
        <family val="1"/>
      </rPr>
      <t>1</t>
    </r>
  </si>
  <si>
    <t>2001 - 2010</t>
  </si>
  <si>
    <t>2011 - 2020</t>
  </si>
  <si>
    <t xml:space="preserve">Less ADIT Adjustment </t>
  </si>
  <si>
    <t>ADIT Revenue Requirements Adjustment</t>
  </si>
  <si>
    <t>Line 4 x Line 6</t>
  </si>
  <si>
    <t>Line 8 - Line 9</t>
  </si>
  <si>
    <t>Line 10 Above</t>
  </si>
  <si>
    <t>Sum Lines 12 thru 18</t>
  </si>
  <si>
    <t>Line 19 / Line 21</t>
  </si>
  <si>
    <t>Line 25 - Line 28</t>
  </si>
  <si>
    <t>Line 23 x Line 30</t>
  </si>
  <si>
    <t>Page 5; Line 27</t>
  </si>
  <si>
    <t>Line 35 x Line 37</t>
  </si>
  <si>
    <t>AV-1A; Line17</t>
  </si>
  <si>
    <t>Page 5; Line 32</t>
  </si>
  <si>
    <t>Page 6; Line 32</t>
  </si>
  <si>
    <t>AF-4; Line 1; Col. c</t>
  </si>
  <si>
    <t>ADIT Adjustment - Annual Fixed Charge Rate (AFCR)</t>
  </si>
  <si>
    <t>Statement AF; Line 15</t>
  </si>
  <si>
    <r>
      <t xml:space="preserve">E. Total (PYRR </t>
    </r>
    <r>
      <rPr>
        <b/>
        <u/>
        <vertAlign val="subscript"/>
        <sz val="12"/>
        <rFont val="Times New Roman"/>
        <family val="1"/>
      </rPr>
      <t>EU</t>
    </r>
    <r>
      <rPr>
        <b/>
        <u/>
        <sz val="12"/>
        <rFont val="Times New Roman"/>
        <family val="1"/>
      </rPr>
      <t>) Excluding FF&amp;U</t>
    </r>
    <r>
      <rPr>
        <b/>
        <sz val="12"/>
        <rFont val="Times New Roman"/>
        <family val="1"/>
      </rPr>
      <t xml:space="preserve"> </t>
    </r>
    <r>
      <rPr>
        <b/>
        <vertAlign val="superscript"/>
        <sz val="12"/>
        <rFont val="Times New Roman"/>
        <family val="1"/>
      </rPr>
      <t>4</t>
    </r>
  </si>
  <si>
    <r>
      <t xml:space="preserve">Cost of Capital Rate </t>
    </r>
    <r>
      <rPr>
        <vertAlign val="subscript"/>
        <sz val="12"/>
        <rFont val="Times New Roman"/>
        <family val="1"/>
      </rPr>
      <t>(COCR)</t>
    </r>
    <r>
      <rPr>
        <sz val="12"/>
        <rFont val="Times New Roman"/>
        <family val="1"/>
      </rPr>
      <t xml:space="preserve"> </t>
    </r>
    <r>
      <rPr>
        <b/>
        <vertAlign val="superscript"/>
        <sz val="12"/>
        <rFont val="Times New Roman"/>
        <family val="1"/>
      </rPr>
      <t>1</t>
    </r>
  </si>
  <si>
    <r>
      <t xml:space="preserve">Incentive Annual Fix Charge Rate (AFCR </t>
    </r>
    <r>
      <rPr>
        <vertAlign val="subscript"/>
        <sz val="12"/>
        <rFont val="Times New Roman"/>
        <family val="1"/>
      </rPr>
      <t>EU-IR-ROE</t>
    </r>
    <r>
      <rPr>
        <sz val="12"/>
        <rFont val="Times New Roman"/>
        <family val="1"/>
      </rPr>
      <t xml:space="preserve">) </t>
    </r>
    <r>
      <rPr>
        <b/>
        <vertAlign val="superscript"/>
        <sz val="12"/>
        <rFont val="Times New Roman"/>
        <family val="1"/>
      </rPr>
      <t>2</t>
    </r>
  </si>
  <si>
    <t xml:space="preserve">Transmission Rate Base Excluding ADIT Adjustment </t>
  </si>
  <si>
    <t>Transmission Rate Base Excluding ADIT Adjustment</t>
  </si>
  <si>
    <t>Statement AK; Line 12</t>
  </si>
  <si>
    <t>Statement AK; Line 5</t>
  </si>
  <si>
    <t xml:space="preserve">ADIT attributed to Excess or Deficient reserves from the remeasurement of ADIT from a tax rate change and Deferred Tax Liabilities from Bonus Depreciation are excluded from the derivation of the </t>
  </si>
  <si>
    <t xml:space="preserve">Annual Fixed Charge Rate ("AFCR") since they are not pertinent to future transmission plant additions. </t>
  </si>
  <si>
    <r>
      <t xml:space="preserve">E. Cost of Capital Rate </t>
    </r>
    <r>
      <rPr>
        <u/>
        <vertAlign val="subscript"/>
        <sz val="12"/>
        <rFont val="Times New Roman"/>
        <family val="1"/>
      </rPr>
      <t xml:space="preserve">(COCR) - </t>
    </r>
    <r>
      <rPr>
        <u/>
        <sz val="12"/>
        <rFont val="Times New Roman"/>
        <family val="1"/>
      </rPr>
      <t>Base ROE:</t>
    </r>
  </si>
  <si>
    <t>Line 48 Above</t>
  </si>
  <si>
    <t>Line 49 Above</t>
  </si>
  <si>
    <t>Line 52 Above</t>
  </si>
  <si>
    <t>Line 52 + Line 65</t>
  </si>
  <si>
    <t>Line 49 x Line 52</t>
  </si>
  <si>
    <t>Line 49 x Line 65</t>
  </si>
  <si>
    <t>Line 70 + Line 71</t>
  </si>
  <si>
    <t>Line 68 + Line 74</t>
  </si>
  <si>
    <r>
      <t xml:space="preserve">Incentive Cost of Capital Rate </t>
    </r>
    <r>
      <rPr>
        <u/>
        <vertAlign val="subscript"/>
        <sz val="12"/>
        <rFont val="Times New Roman"/>
        <family val="1"/>
      </rPr>
      <t>(ICOCR)</t>
    </r>
    <r>
      <rPr>
        <u/>
        <sz val="12"/>
        <rFont val="Times New Roman"/>
        <family val="1"/>
      </rPr>
      <t xml:space="preserve"> Calculation  - Base ROE: </t>
    </r>
    <r>
      <rPr>
        <b/>
        <u/>
        <vertAlign val="superscript"/>
        <sz val="12"/>
        <rFont val="Times New Roman"/>
        <family val="1"/>
      </rPr>
      <t>1</t>
    </r>
  </si>
  <si>
    <t>Page 3; Line 50</t>
  </si>
  <si>
    <t>Page 3; Line 63</t>
  </si>
  <si>
    <t>Line 49 x Line 74</t>
  </si>
  <si>
    <t>Statement AV; Page 3; Line 38</t>
  </si>
  <si>
    <t>Line 52+ Line 65</t>
  </si>
  <si>
    <t>Statement AV; Page 3; Line 78</t>
  </si>
  <si>
    <t>Statement AV; Page 4; Line 38</t>
  </si>
  <si>
    <t>Line 1 + Line 5 +Line 9</t>
  </si>
  <si>
    <r>
      <t xml:space="preserve">Cost of Capital Rate </t>
    </r>
    <r>
      <rPr>
        <vertAlign val="subscript"/>
        <sz val="12"/>
        <rFont val="Times New Roman"/>
        <family val="1"/>
      </rPr>
      <t>(COCR)</t>
    </r>
    <r>
      <rPr>
        <sz val="12"/>
        <rFont val="Times New Roman"/>
        <family val="1"/>
      </rPr>
      <t xml:space="preserve"> </t>
    </r>
    <r>
      <rPr>
        <b/>
        <vertAlign val="superscript"/>
        <sz val="12"/>
        <rFont val="Times New Roman"/>
        <family val="1"/>
      </rPr>
      <t>3</t>
    </r>
    <r>
      <rPr>
        <sz val="12"/>
        <rFont val="Times New Roman"/>
        <family val="1"/>
      </rPr>
      <t xml:space="preserve"> - Base ROE</t>
    </r>
  </si>
  <si>
    <t>Page 1; Line 19 + Line 23</t>
  </si>
  <si>
    <t>The regular Cost of Capital Rate is used for calculation purposes.</t>
  </si>
  <si>
    <t xml:space="preserve">     Incentive Transmission Forecast CWIP Projects Revenue Requirements - CAISO Participation ROE Adder</t>
  </si>
  <si>
    <t xml:space="preserve">     Total Incentive Transmission Forecast CWIP Projects Revenue Requirements</t>
  </si>
  <si>
    <t>Line 41 x Line 43</t>
  </si>
  <si>
    <t>Line 39 + Line 45</t>
  </si>
  <si>
    <t>Line 26 x Line 32</t>
  </si>
  <si>
    <t>Statement AV; Page 4; Line 78</t>
  </si>
  <si>
    <t>The Incentive Cost of Capital Rate calculation will be tracked and shown separately for each project. As a result, lines 1 through 78 will be repeated for each project.</t>
  </si>
  <si>
    <t>Page 2; Line 37</t>
  </si>
  <si>
    <t>Page 6; Line 47</t>
  </si>
  <si>
    <t>ANNUAL FIXED CHARGE RATE - ADIT ADJUSTMENT</t>
  </si>
  <si>
    <r>
      <t xml:space="preserve">E. Cost of Capital Rate </t>
    </r>
    <r>
      <rPr>
        <u/>
        <vertAlign val="subscript"/>
        <sz val="12"/>
        <rFont val="Times New Roman"/>
        <family val="1"/>
      </rPr>
      <t>(COCR)</t>
    </r>
    <r>
      <rPr>
        <u/>
        <sz val="12"/>
        <rFont val="Times New Roman"/>
        <family val="1"/>
      </rPr>
      <t xml:space="preserve"> - CAISO Participation ROE Adder</t>
    </r>
  </si>
  <si>
    <t>D. Total Weighted Cost of Common Equity - CAISO Participation ROE Adder</t>
  </si>
  <si>
    <t>Positive of Page 3; Line 16</t>
  </si>
  <si>
    <t xml:space="preserve">Page 4; Line 20 </t>
  </si>
  <si>
    <t>Negative of Page 1; Line 25</t>
  </si>
  <si>
    <r>
      <t xml:space="preserve">   Others (TBD) </t>
    </r>
    <r>
      <rPr>
        <b/>
        <vertAlign val="superscript"/>
        <sz val="12"/>
        <rFont val="Times New Roman"/>
        <family val="1"/>
      </rPr>
      <t>5</t>
    </r>
  </si>
  <si>
    <t>TBD</t>
  </si>
  <si>
    <t>SDG&amp;E will adjust the supporting workpaper for any future events that impacts ADIT.</t>
  </si>
  <si>
    <t xml:space="preserve">Page 3; Line 27 </t>
  </si>
  <si>
    <t>Sum Lines 25 thru 28</t>
  </si>
  <si>
    <t>Less: Injuries and Damages (Due to different allocation factor)</t>
  </si>
  <si>
    <t>Negative of AH-2; Line 6; Col. c</t>
  </si>
  <si>
    <t>Line 15 x Line 16</t>
  </si>
  <si>
    <t xml:space="preserve">Injuries &amp; Damages -  Cost Recovery </t>
  </si>
  <si>
    <t>Sum Lines 17 thru 19</t>
  </si>
  <si>
    <t>Statement AH; Line 20</t>
  </si>
  <si>
    <t>Statement AH; Line 39</t>
  </si>
  <si>
    <t>Sum Lines 23 thru 26</t>
  </si>
  <si>
    <t>Line 23 Above</t>
  </si>
  <si>
    <t>Sum Lines 29 thru 36</t>
  </si>
  <si>
    <t>Line 27 / Line 37</t>
  </si>
  <si>
    <t>Col. a = Line 13 - Line 23</t>
  </si>
  <si>
    <t>Col. b and c = Line 18 x (Line 19; Col. a)</t>
  </si>
  <si>
    <t>Col. b and c = Line 22 x (Line 23; Col. a)</t>
  </si>
  <si>
    <t>Line 19 + Line 23</t>
  </si>
  <si>
    <t>Line 27 x Franchise Fee Rate</t>
  </si>
  <si>
    <t>Line 27 + Line 28</t>
  </si>
  <si>
    <t>Adjustments to Per Book Transmission O&amp;M Expense:</t>
  </si>
  <si>
    <r>
      <rPr>
        <sz val="12"/>
        <color rgb="FFFF0000"/>
        <rFont val="Times New Roman"/>
        <family val="1"/>
      </rPr>
      <t xml:space="preserve">   </t>
    </r>
    <r>
      <rPr>
        <sz val="12"/>
        <rFont val="Times New Roman"/>
        <family val="1"/>
      </rPr>
      <t>Scheduling, System Control &amp; Dispatch Services</t>
    </r>
  </si>
  <si>
    <t>Negative of AH-1; Line 38; Col. b</t>
  </si>
  <si>
    <r>
      <rPr>
        <sz val="12"/>
        <color rgb="FFFF0000"/>
        <rFont val="Times New Roman"/>
        <family val="1"/>
      </rPr>
      <t xml:space="preserve">   </t>
    </r>
    <r>
      <rPr>
        <sz val="12"/>
        <rFont val="Times New Roman"/>
        <family val="1"/>
      </rPr>
      <t>Reliability, Planning &amp; Standards Development</t>
    </r>
  </si>
  <si>
    <t>Negative of AH-1; Line 39; Col. b</t>
  </si>
  <si>
    <r>
      <rPr>
        <sz val="12"/>
        <color rgb="FFFF0000"/>
        <rFont val="Times New Roman"/>
        <family val="1"/>
      </rPr>
      <t xml:space="preserve">   </t>
    </r>
    <r>
      <rPr>
        <sz val="12"/>
        <rFont val="Times New Roman"/>
        <family val="1"/>
      </rPr>
      <t>Transmission of Electricity by Others</t>
    </r>
  </si>
  <si>
    <t>Negative of AH-1; Line 40; Col. b</t>
  </si>
  <si>
    <r>
      <rPr>
        <sz val="12"/>
        <color rgb="FFFF0000"/>
        <rFont val="Times New Roman"/>
        <family val="1"/>
      </rPr>
      <t xml:space="preserve">   </t>
    </r>
    <r>
      <rPr>
        <sz val="12"/>
        <rFont val="Times New Roman"/>
        <family val="1"/>
      </rPr>
      <t xml:space="preserve">Miscellaneous Transmission Expense </t>
    </r>
  </si>
  <si>
    <t xml:space="preserve">   Other Transmission O&amp;M Exclusion Adjustments </t>
  </si>
  <si>
    <t>Negative of AH-1; Line 37; Col. b</t>
  </si>
  <si>
    <t>Sum Lines 2 thru 8</t>
  </si>
  <si>
    <t>Adjustments to Per Book A&amp;G Expense:</t>
  </si>
  <si>
    <t xml:space="preserve"> Abandoned Projects</t>
  </si>
  <si>
    <t xml:space="preserve">   CPUC energy efficiency programs</t>
  </si>
  <si>
    <r>
      <t xml:space="preserve">   CPUC Intervenor Funding Expense - Transmission </t>
    </r>
    <r>
      <rPr>
        <b/>
        <vertAlign val="superscript"/>
        <sz val="12"/>
        <rFont val="Times New Roman"/>
        <family val="1"/>
      </rPr>
      <t>1</t>
    </r>
  </si>
  <si>
    <t xml:space="preserve">   CPUC Intervenor Funding Expense - Distribution</t>
  </si>
  <si>
    <t xml:space="preserve">   CPUC reimbursement fees</t>
  </si>
  <si>
    <t xml:space="preserve">   Injuries &amp; Damages</t>
  </si>
  <si>
    <t xml:space="preserve">   General Advertising Expenses </t>
  </si>
  <si>
    <t xml:space="preserve">   Franchise Requirements</t>
  </si>
  <si>
    <t xml:space="preserve">   Hazardous substances - Hazardous Substance Cleanup Cost Account</t>
  </si>
  <si>
    <t xml:space="preserve">   Litigation expenses - Litigation Cost Memorandum Account (LCMA)</t>
  </si>
  <si>
    <t xml:space="preserve">   Other A&amp;G Exclusion Adjustments</t>
  </si>
  <si>
    <t>Sum Lines 12 thru 24</t>
  </si>
  <si>
    <t>Line 25 + Line 26</t>
  </si>
  <si>
    <t>Negative of Line 26 x Line 50</t>
  </si>
  <si>
    <t>Line 29 + Line 30</t>
  </si>
  <si>
    <t>Sum Lines 34 thru 37</t>
  </si>
  <si>
    <t>Line 34 Above</t>
  </si>
  <si>
    <t>Sum Lines 40 thru 47</t>
  </si>
  <si>
    <t>Line 38 / Line 48</t>
  </si>
  <si>
    <t>Electric Power Research Institute (EPRI) Dues</t>
  </si>
  <si>
    <t>True-Up AH-2; Line 16; Col. a</t>
  </si>
  <si>
    <t>Negative of True-Up AH-2; Line 27; Col. a</t>
  </si>
  <si>
    <t>Negative of True-Up AH-2; Line 5; Col. c</t>
  </si>
  <si>
    <r>
      <t xml:space="preserve">Cost of Capital Rate </t>
    </r>
    <r>
      <rPr>
        <vertAlign val="subscript"/>
        <sz val="12"/>
        <rFont val="Times New Roman"/>
        <family val="1"/>
      </rPr>
      <t>(COCR)</t>
    </r>
    <r>
      <rPr>
        <sz val="12"/>
        <rFont val="Times New Roman"/>
        <family val="1"/>
      </rPr>
      <t xml:space="preserve"> - Base ROE:</t>
    </r>
  </si>
  <si>
    <r>
      <t xml:space="preserve">     CPUC Intervenor Funding Expense Revenue Adj. - Base ROE </t>
    </r>
    <r>
      <rPr>
        <vertAlign val="superscript"/>
        <sz val="12"/>
        <rFont val="Times New Roman"/>
        <family val="1"/>
      </rPr>
      <t>2</t>
    </r>
  </si>
  <si>
    <r>
      <t xml:space="preserve">Cost of Capital Rate </t>
    </r>
    <r>
      <rPr>
        <vertAlign val="subscript"/>
        <sz val="12"/>
        <rFont val="Times New Roman"/>
        <family val="1"/>
      </rPr>
      <t>(COCR)</t>
    </r>
    <r>
      <rPr>
        <sz val="12"/>
        <rFont val="Times New Roman"/>
        <family val="1"/>
      </rPr>
      <t xml:space="preserve"> - CAISO Participation ROE Adder:</t>
    </r>
  </si>
  <si>
    <r>
      <t xml:space="preserve">     CPUC Intervenor Funding Expense Revenue Adj. - CAISO Participation ROE Adder </t>
    </r>
    <r>
      <rPr>
        <vertAlign val="superscript"/>
        <sz val="12"/>
        <rFont val="Times New Roman"/>
        <family val="1"/>
      </rPr>
      <t>2</t>
    </r>
  </si>
  <si>
    <t>True-Up Stmt AH; Line 9</t>
  </si>
  <si>
    <t>True-Up Stmt AH; Line 31</t>
  </si>
  <si>
    <t>True-Up Negative of Stmt AH; Line 16</t>
  </si>
  <si>
    <t>True-Up Stmt AL; Line 5</t>
  </si>
  <si>
    <t>True-Up Stmt AL; Line 9</t>
  </si>
  <si>
    <t>True-Up Stmt AL; Line 19</t>
  </si>
  <si>
    <t>Injuries and Damages</t>
  </si>
  <si>
    <t xml:space="preserve">   Injuries and Damages - Acct. 228</t>
  </si>
  <si>
    <t xml:space="preserve">     Total Injuries and Damages</t>
  </si>
  <si>
    <t>True-Up Misc.-1.1; Line 4</t>
  </si>
  <si>
    <t>True-Up Misc.-1.1; Line 9</t>
  </si>
  <si>
    <t>True-Up Misc.-1.1; Line 14</t>
  </si>
  <si>
    <t>True-Up Misc.-1.1; Line 19</t>
  </si>
  <si>
    <t>True-Up Misc.-1; Line 9; Col. c</t>
  </si>
  <si>
    <t>True-Up Stmt Misc; Line 5</t>
  </si>
  <si>
    <t>True-Up Stmt Misc; Line 7</t>
  </si>
  <si>
    <t>Negative of True-Up Stmt AH; Line 16</t>
  </si>
  <si>
    <t>Negative of Line 13 x Line 39</t>
  </si>
  <si>
    <t>Transmission Wages and Plant Blended Allocation Factor</t>
  </si>
  <si>
    <t>Negative of Line 14 x Line 41</t>
  </si>
  <si>
    <t>Misc.-1; Line 11; Col. c</t>
  </si>
  <si>
    <t>Sum Lines 1 thru 9</t>
  </si>
  <si>
    <t>Less: Electric Power Research Institute (EPRI) Dues</t>
  </si>
  <si>
    <t xml:space="preserve">   Gross Long Term Debt</t>
  </si>
  <si>
    <t>4371028</t>
  </si>
  <si>
    <t>456</t>
  </si>
  <si>
    <t>RE Other Rev Sale Trans Serve</t>
  </si>
  <si>
    <t xml:space="preserve">Allocation </t>
  </si>
  <si>
    <t>Related</t>
  </si>
  <si>
    <t xml:space="preserve">     Total Unfunded Reserve</t>
  </si>
  <si>
    <t>(c) = [(a)+(b)]</t>
  </si>
  <si>
    <t>(f) = [(a)+(b)+(c)+(d)+(e)]/5</t>
  </si>
  <si>
    <t>Represents placeholder for New Unfunded Reserve</t>
  </si>
  <si>
    <t>Sum Lines 1 through 9</t>
  </si>
  <si>
    <t xml:space="preserve">     Injuries and Damages - Acct 228</t>
  </si>
  <si>
    <t xml:space="preserve">     Workers' Compensation - Acct 228</t>
  </si>
  <si>
    <t xml:space="preserve">     SERP - Acct 228 / Acct 242</t>
  </si>
  <si>
    <t xml:space="preserve">     Accrued Vacation - Acct 232</t>
  </si>
  <si>
    <t>DEFERRED LOSSES /GAINS FROM DISPOSITION OF UTILITY PLANT</t>
  </si>
  <si>
    <t>Deferred Losses from Disposition of Utility Plant - Acct 187</t>
  </si>
  <si>
    <t>Deferred Gains from Disposition of Utility Plant - Acct 256</t>
  </si>
  <si>
    <t xml:space="preserve">     Total Deferred Losses/(Gains) from Disposition of Utility Plant</t>
  </si>
  <si>
    <t>Total Deferred Losses/(Gains) from Disposition of Utility Plant</t>
  </si>
  <si>
    <t>Misc.-2; Line 5; Col. c</t>
  </si>
  <si>
    <t>Statement Misc; Line 11</t>
  </si>
  <si>
    <t>Deferred Losses/(Gains) from Disposition of Utility Plant</t>
  </si>
  <si>
    <t>Col (a) = Misc.-1.1; Line 1</t>
  </si>
  <si>
    <t>Col (a) = Misc.-1.1; Line 3</t>
  </si>
  <si>
    <t>Col (a) = Misc.-1.1; Line 5</t>
  </si>
  <si>
    <t>Col (a) = Misc.-1.1; Line 7</t>
  </si>
  <si>
    <t>Recorded</t>
  </si>
  <si>
    <t>Transmission Revenues:</t>
  </si>
  <si>
    <t>Allocated</t>
  </si>
  <si>
    <t>Adjusted Transmission Wages &amp; Salaries</t>
  </si>
  <si>
    <t>Transmission Wages &amp; Salaries Adjustment</t>
  </si>
  <si>
    <t>Transmission Wages &amp; Salaries Per Book</t>
  </si>
  <si>
    <t>Distribution Wages &amp; Salaries Per Book</t>
  </si>
  <si>
    <t>Adjusted Distribution Wages &amp; Salaries</t>
  </si>
  <si>
    <t>Adjusted O&amp;M Expense</t>
  </si>
  <si>
    <t>Per Settlement Agreement</t>
  </si>
  <si>
    <t>Total Electric Materials Expensed</t>
  </si>
  <si>
    <t>Total Electric Materials Capitalized</t>
  </si>
  <si>
    <t>Total Electric Materials</t>
  </si>
  <si>
    <t>Total Elec. Transmission Materials Expensed</t>
  </si>
  <si>
    <t>Total Elec. Transmission Materials Capitalized</t>
  </si>
  <si>
    <t>Total Elec. Transmission Materials</t>
  </si>
  <si>
    <t>Transmission Percent of Materials Used</t>
  </si>
  <si>
    <t>Statement AL - Working Capital</t>
  </si>
  <si>
    <t>Derivation of Transmission M&amp;S 3-Year Rolling Average Ratio</t>
  </si>
  <si>
    <t>Transmission M&amp;S Rolling 3-Year Average Ratio</t>
  </si>
  <si>
    <t>AD-6; Line 21</t>
  </si>
  <si>
    <t>Line 17 Minus Line 19</t>
  </si>
  <si>
    <t>Line 20 Above</t>
  </si>
  <si>
    <t>Line 22 Plus Line 23</t>
  </si>
  <si>
    <t>Line 19 Below</t>
  </si>
  <si>
    <t>Line 24 Below</t>
  </si>
  <si>
    <t>Negative of Page 1; Line 1 x 60%</t>
  </si>
  <si>
    <t>Negative of Page 1; Line 3 x 60%</t>
  </si>
  <si>
    <t>From Statement AD - 6</t>
  </si>
  <si>
    <t>Ratio of Col C; Line 18 and Col A; Line 18</t>
  </si>
  <si>
    <t>Col. A</t>
  </si>
  <si>
    <t>Col. B</t>
  </si>
  <si>
    <t>Col. C</t>
  </si>
  <si>
    <t>2</t>
  </si>
  <si>
    <t>3</t>
  </si>
  <si>
    <t>Comp. Hardware</t>
  </si>
  <si>
    <t>Comp. Software</t>
  </si>
  <si>
    <t>Comm. Equip</t>
  </si>
  <si>
    <t>Gas-Only Expenses</t>
  </si>
  <si>
    <t>Executive ICP</t>
  </si>
  <si>
    <t>Represents the current Franchise Fees and Uncollectible (FF&amp;U) expense rates approved in SDG&amp;E's General Rate Case (GRC).</t>
  </si>
  <si>
    <t>60% of Transmission O&amp;M Expense</t>
  </si>
  <si>
    <t>60% of Transmission Related A&amp;G Expense</t>
  </si>
  <si>
    <t>AU-1; Page 2; Line 21; Col. m</t>
  </si>
  <si>
    <t>AU-1; Page 2; Line 26; Col. m</t>
  </si>
  <si>
    <t>9a</t>
  </si>
  <si>
    <t>Col (a) = Misc.-1.1; Line 9a</t>
  </si>
  <si>
    <t>Sum Lines 6, 11, 16, 22, 24, 25, 26</t>
  </si>
  <si>
    <t xml:space="preserve">     Transmission M&amp;S Allocation Factor</t>
  </si>
  <si>
    <t>AL-1.1; Line 13</t>
  </si>
  <si>
    <t xml:space="preserve">   Transmission Related Cash Working Capital Allocation Ratio</t>
  </si>
  <si>
    <t>Sum Lines 14 thru 16</t>
  </si>
  <si>
    <t>Line 17 x Line 19</t>
  </si>
  <si>
    <t>Line 16 Above</t>
  </si>
  <si>
    <t>Line 19 Above</t>
  </si>
  <si>
    <t>Line 24 x Line 26</t>
  </si>
  <si>
    <t>Line 28 x Line 30</t>
  </si>
  <si>
    <t>Line 28 x Line 34</t>
  </si>
  <si>
    <t xml:space="preserve">     CPUC Intervenor Funding Expense Revenue Adj. - Base ROE</t>
  </si>
  <si>
    <t xml:space="preserve">     CPUC Intervenor Funding Expense Revenue Adj. - CAISO Participation ROE Adder</t>
  </si>
  <si>
    <t>Statement AL; Line 11</t>
  </si>
  <si>
    <r>
      <t xml:space="preserve">Unfunded Reserves </t>
    </r>
    <r>
      <rPr>
        <vertAlign val="superscript"/>
        <sz val="12"/>
        <rFont val="Times New Roman"/>
        <family val="1"/>
      </rPr>
      <t>2</t>
    </r>
  </si>
  <si>
    <r>
      <t xml:space="preserve">Workers' Compensation - Acct 228 </t>
    </r>
    <r>
      <rPr>
        <vertAlign val="superscript"/>
        <sz val="12"/>
        <rFont val="Times New Roman"/>
        <family val="1"/>
      </rPr>
      <t>1</t>
    </r>
  </si>
  <si>
    <r>
      <t>SERP - Acct 228 / Acct 242</t>
    </r>
    <r>
      <rPr>
        <vertAlign val="superscript"/>
        <sz val="12"/>
        <rFont val="Times New Roman"/>
        <family val="1"/>
      </rPr>
      <t xml:space="preserve"> 2</t>
    </r>
  </si>
  <si>
    <r>
      <t>Accrued Vacation - Acct 232</t>
    </r>
    <r>
      <rPr>
        <vertAlign val="superscript"/>
        <sz val="12"/>
        <rFont val="Times New Roman"/>
        <family val="1"/>
      </rPr>
      <t xml:space="preserve"> 2</t>
    </r>
  </si>
  <si>
    <r>
      <rPr>
        <vertAlign val="superscript"/>
        <sz val="12"/>
        <rFont val="Times New Roman"/>
        <family val="1"/>
      </rPr>
      <t>1</t>
    </r>
  </si>
  <si>
    <t>Allocation Factor 1 shown on lines 1 and 3 is derived as follows based on recorded data:</t>
  </si>
  <si>
    <t>Allocation Factor 2 shown on lines 5 and 7 is derived as follows based on recorded data:</t>
  </si>
  <si>
    <r>
      <t xml:space="preserve">Injuries and Damages - Acct 228 </t>
    </r>
    <r>
      <rPr>
        <vertAlign val="superscript"/>
        <sz val="12"/>
        <rFont val="Times New Roman"/>
        <family val="1"/>
      </rPr>
      <t>1</t>
    </r>
  </si>
  <si>
    <r>
      <t xml:space="preserve">Other Unfunded Reserve - Acct XXX </t>
    </r>
    <r>
      <rPr>
        <vertAlign val="superscript"/>
        <sz val="12"/>
        <rFont val="Times New Roman"/>
        <family val="1"/>
      </rPr>
      <t>3</t>
    </r>
  </si>
  <si>
    <t>Tab AD-10; Line 6</t>
  </si>
  <si>
    <t>Stmt AH; Line 41</t>
  </si>
  <si>
    <t>Stmt AI; Line 15</t>
  </si>
  <si>
    <r>
      <t xml:space="preserve">     Other Unfunded Reserve - Acct XXX </t>
    </r>
    <r>
      <rPr>
        <vertAlign val="superscript"/>
        <sz val="12"/>
        <rFont val="Times New Roman"/>
        <family val="1"/>
      </rPr>
      <t>1</t>
    </r>
  </si>
  <si>
    <t>Page 1; Line 31</t>
  </si>
  <si>
    <t>Tab "TO5 True-Up"; Line 25; Col. 11</t>
  </si>
  <si>
    <t xml:space="preserve">Line 21 + Line 23 </t>
  </si>
  <si>
    <t>Negative of Statement AL; Line 32</t>
  </si>
  <si>
    <t>Negative of Statement AL; Line 36</t>
  </si>
  <si>
    <t>Col. b and c = Line 18 x (Line 31; Col. a)</t>
  </si>
  <si>
    <t>Line 29 + Line 31</t>
  </si>
  <si>
    <t>Transmission O&amp;M Expense Adjustment - Plant Transfers between G, T and D.</t>
  </si>
  <si>
    <t xml:space="preserve"> ((Line 16 x 0.8) + (Stmt AD; Line 35 x 0.2))</t>
  </si>
  <si>
    <t xml:space="preserve">    Net  Long-Term Debt</t>
  </si>
  <si>
    <t>Sum Lines 5 thru 7</t>
  </si>
  <si>
    <t>Sum Lines 11 thru 15</t>
  </si>
  <si>
    <t>Line 16 / Line 8</t>
  </si>
  <si>
    <t>Gross Long-Term Debt</t>
  </si>
  <si>
    <r>
      <t xml:space="preserve">Ratio </t>
    </r>
    <r>
      <rPr>
        <vertAlign val="superscript"/>
        <sz val="12"/>
        <rFont val="Times New Roman"/>
        <family val="1"/>
      </rPr>
      <t>2</t>
    </r>
  </si>
  <si>
    <t>Statement BK-1; Page 3; Line 28</t>
  </si>
  <si>
    <t>Statement BK-1; Page 3; Line 33</t>
  </si>
  <si>
    <r>
      <t>Revenues</t>
    </r>
    <r>
      <rPr>
        <b/>
        <sz val="12"/>
        <rFont val="Times New Roman"/>
        <family val="1"/>
      </rPr>
      <t xml:space="preserve"> </t>
    </r>
    <r>
      <rPr>
        <b/>
        <vertAlign val="superscript"/>
        <sz val="12"/>
        <rFont val="Times New Roman"/>
        <family val="1"/>
      </rPr>
      <t>2,8</t>
    </r>
  </si>
  <si>
    <t>Beginning Balance (TO6 Stmt AF; Line 7; Col. a)</t>
  </si>
  <si>
    <t>Ending Balance (TO6 Stmt AF; Line 7; Col. b)</t>
  </si>
  <si>
    <t>Page 3; Line 28</t>
  </si>
  <si>
    <t>Page 3; Line 28 - Line 10</t>
  </si>
  <si>
    <r>
      <t xml:space="preserve">Other BTRR </t>
    </r>
    <r>
      <rPr>
        <vertAlign val="subscript"/>
        <sz val="12"/>
        <rFont val="Times New Roman"/>
        <family val="1"/>
      </rPr>
      <t>EU</t>
    </r>
    <r>
      <rPr>
        <sz val="12"/>
        <rFont val="Times New Roman"/>
        <family val="1"/>
      </rPr>
      <t xml:space="preserve"> Adjustments - Black Box Adjustment Per Settlement Agreement</t>
    </r>
  </si>
  <si>
    <t>Line 15  + Line 19+ Line 23 + (Sum Lines 25 thru 29)</t>
  </si>
  <si>
    <t>Page 3; Line 33</t>
  </si>
  <si>
    <t>Page 3; Line 38</t>
  </si>
  <si>
    <t>Page 3; Line 40</t>
  </si>
  <si>
    <t>Page 1; Line 31 + Line 37</t>
  </si>
  <si>
    <t>Shall be Zero per the Settlement Agreement</t>
  </si>
  <si>
    <t>Line 36 + Line 37</t>
  </si>
  <si>
    <t>Line 31 + Line 32</t>
  </si>
  <si>
    <t>Negative of Page 1; Line 29</t>
  </si>
  <si>
    <t>Page 1; Line 31 + Page 2; Line 11</t>
  </si>
  <si>
    <t>Sum Lines 8 thru 10</t>
  </si>
  <si>
    <r>
      <t>Settlement Composite Depreciation Rate for AFCR</t>
    </r>
    <r>
      <rPr>
        <b/>
        <vertAlign val="superscript"/>
        <sz val="10"/>
        <rFont val="Times New Roman"/>
        <family val="1"/>
      </rPr>
      <t>1</t>
    </r>
  </si>
  <si>
    <r>
      <rPr>
        <vertAlign val="superscript"/>
        <sz val="10"/>
        <rFont val="Times New Roman"/>
        <family val="1"/>
      </rPr>
      <t>1</t>
    </r>
    <r>
      <rPr>
        <vertAlign val="superscript"/>
        <sz val="8.4"/>
        <rFont val="Times New Roman"/>
        <family val="1"/>
      </rPr>
      <t xml:space="preserve"> </t>
    </r>
    <r>
      <rPr>
        <sz val="12"/>
        <rFont val="Times New Roman"/>
        <family val="1"/>
      </rPr>
      <t xml:space="preserve">The Settlement Composite Depreciation Rate will be used in the calculation of the AFCR for </t>
    </r>
  </si>
  <si>
    <t>351.1 - Total</t>
  </si>
  <si>
    <t>351.2 - Total</t>
  </si>
  <si>
    <t>351.3 - Total</t>
  </si>
  <si>
    <t>Tab AJ-1B; Line 38; Col. c</t>
  </si>
  <si>
    <t>Transmission O&amp;M Allocation Factor</t>
  </si>
  <si>
    <r>
      <t xml:space="preserve">SDG&amp;E Executive Compensation </t>
    </r>
    <r>
      <rPr>
        <vertAlign val="superscript"/>
        <sz val="12"/>
        <rFont val="Times New Roman"/>
        <family val="1"/>
      </rPr>
      <t>1</t>
    </r>
  </si>
  <si>
    <r>
      <t>SDG&amp;E Non-Executive ICP Financial Metrics and LTIP</t>
    </r>
    <r>
      <rPr>
        <vertAlign val="superscript"/>
        <sz val="12"/>
        <rFont val="Times New Roman"/>
        <family val="1"/>
      </rPr>
      <t xml:space="preserve">  1</t>
    </r>
  </si>
  <si>
    <r>
      <t xml:space="preserve">Sempra Executive Compensation </t>
    </r>
    <r>
      <rPr>
        <vertAlign val="superscript"/>
        <sz val="12"/>
        <rFont val="Times New Roman"/>
        <family val="1"/>
      </rPr>
      <t>1</t>
    </r>
  </si>
  <si>
    <r>
      <t xml:space="preserve">Sempra Non-Executive ICP Financial Metrics and LTIP </t>
    </r>
    <r>
      <rPr>
        <vertAlign val="superscript"/>
        <sz val="12"/>
        <rFont val="Times New Roman"/>
        <family val="1"/>
      </rPr>
      <t>1</t>
    </r>
  </si>
  <si>
    <t>For simplicity purposes, total exclusion will be made to O&amp;M.</t>
  </si>
  <si>
    <t>(c) = (a) x (b)</t>
  </si>
  <si>
    <t>Hypothetical Capital Structure reached in the TO6 Settlement: Common Equity Ratio = 54%; Long-Term Debt Ratio = 46%.</t>
  </si>
  <si>
    <t>Sum Lines 26 thru 27</t>
  </si>
  <si>
    <t>Page 1; Line  30</t>
  </si>
  <si>
    <r>
      <t xml:space="preserve">Ratio </t>
    </r>
    <r>
      <rPr>
        <vertAlign val="superscript"/>
        <sz val="12"/>
        <rFont val="Times New Roman"/>
        <family val="1"/>
      </rPr>
      <t>1</t>
    </r>
  </si>
  <si>
    <t>Page 2; Line 10</t>
  </si>
  <si>
    <t>Per TO6 Settlement Agreement</t>
  </si>
  <si>
    <t>Col. b = Line 18 Above</t>
  </si>
  <si>
    <t>Col. b = Line 21 Above</t>
  </si>
  <si>
    <t>Line 27; Col. c</t>
  </si>
  <si>
    <t>Col. b = Line 33 Above</t>
  </si>
  <si>
    <t>Sum Lines 38 thru 39</t>
  </si>
  <si>
    <t>Col. b = Page 1, Line 18</t>
  </si>
  <si>
    <t>Col. b = Line 1 Above</t>
  </si>
  <si>
    <t>Col. b = Line 13 Above</t>
  </si>
  <si>
    <t>Sum Lines 18 thru 19</t>
  </si>
  <si>
    <t>Line 19; Col. c</t>
  </si>
  <si>
    <t>Line 7; Col. c</t>
  </si>
  <si>
    <t>Line 39; Col. c</t>
  </si>
  <si>
    <t>Page 1; Line 28; Col. c</t>
  </si>
  <si>
    <t>Page 1; Line 42; Col. c</t>
  </si>
  <si>
    <t>Credit Facility Fees</t>
  </si>
  <si>
    <t>Page 2; Line 8; Col. c</t>
  </si>
  <si>
    <t>Page 2; Line 20</t>
  </si>
  <si>
    <t>Incentive Cost of Equity Component</t>
  </si>
  <si>
    <t xml:space="preserve">Cost of Equity Component </t>
  </si>
  <si>
    <t xml:space="preserve">     A = Return on Equity Component</t>
  </si>
  <si>
    <t>24-Month Forecast Period (January 1, 2025 - December 31, 2026)</t>
  </si>
  <si>
    <t>The HV/LV Gross Forecast Plant Additions from January 2025 through December 2026 comes from the Forecast Transmission Capital Additions Work Papers.</t>
  </si>
  <si>
    <t>Dec-24</t>
  </si>
  <si>
    <t>BALANCES AS OF 12/31/2024</t>
  </si>
  <si>
    <t>2024 Form 1; Page 356.1; Accts 303 to 398</t>
  </si>
  <si>
    <t>2024 Form 1; Page 356.1; Electric</t>
  </si>
  <si>
    <t>2024 Form 1; Page 200-201; Footnote Data (b)</t>
  </si>
  <si>
    <t>BASE PERIOD 12 MONTHS ENDING DECEMBER 31, 2024</t>
  </si>
  <si>
    <t>Rates based on 12/31/2024 Plant Balances</t>
  </si>
  <si>
    <t>Unfunded Reserves are calculated using a five-quarter average per the TO6 Settlement Agreement</t>
  </si>
  <si>
    <t>Base Period &amp; True-Up Period Ending December 31, 2024</t>
  </si>
  <si>
    <t>Negative AH-1; Line 57; Col. c</t>
  </si>
  <si>
    <t>Line 33 x Line 55</t>
  </si>
  <si>
    <t>Line 33 minus Line 56</t>
  </si>
  <si>
    <t>Negative of AH-1; Line 45; Col. b</t>
  </si>
  <si>
    <t>AV-1A; Line 19</t>
  </si>
  <si>
    <t>New Application Fees - PA - Transmission</t>
  </si>
  <si>
    <t>4371105</t>
  </si>
  <si>
    <t>Per Section II.B. of Appendix VIII:</t>
  </si>
  <si>
    <t xml:space="preserve">Data cells that are colored coded green are manual inputs based on the workpapers and/or FERC Form 1 that are external to the Formula Rate Spreadsheet </t>
  </si>
  <si>
    <t>Data cells that are color coded yellow are linked to cells on other pages within the Formula Rate Spreadsheet</t>
  </si>
  <si>
    <t>Data cells color coded grey shall be zero</t>
  </si>
  <si>
    <t>Uncolored cells reflect formulas (e.g., cells representing the sum of proceding lines) or links to cells on the same page</t>
  </si>
  <si>
    <t>Shall be zero percent per the Settlement Agreement</t>
  </si>
  <si>
    <t>rates shown on line 36 pursuant to Term 54 in Appendix VIII.</t>
  </si>
  <si>
    <t>Sum Lines 6 thru 7</t>
  </si>
  <si>
    <t>True-up Statement AJ; Line 17</t>
  </si>
  <si>
    <t>True-up Statement AJ; Line 23</t>
  </si>
  <si>
    <t>True-up Statement AK; Line 5</t>
  </si>
  <si>
    <t>True-up Statement AK; Line 12</t>
  </si>
  <si>
    <t>TO5 Stmt AF Proration; Line 13; Col. 8</t>
  </si>
  <si>
    <t>True-up Statement AD; Line 27</t>
  </si>
  <si>
    <t>True-up Statement AD; Line 29</t>
  </si>
  <si>
    <t>True-up Statement AD; Line 31</t>
  </si>
  <si>
    <t>True-up Statement AE; Line 11</t>
  </si>
  <si>
    <t>True-up Statement AE; Line 13</t>
  </si>
  <si>
    <t>True-up Statement AE; Line 15</t>
  </si>
  <si>
    <t>N/A</t>
  </si>
  <si>
    <r>
      <t>CAISO Participation ROE Adder</t>
    </r>
    <r>
      <rPr>
        <u/>
        <vertAlign val="superscript"/>
        <sz val="12"/>
        <rFont val="Times New Roman"/>
        <family val="1"/>
      </rPr>
      <t>2</t>
    </r>
    <r>
      <rPr>
        <u/>
        <sz val="12"/>
        <rFont val="Times New Roman"/>
        <family val="1"/>
      </rPr>
      <t>:</t>
    </r>
    <r>
      <rPr>
        <sz val="12"/>
        <rFont val="Times New Roman"/>
        <family val="1"/>
      </rPr>
      <t xml:space="preserve"> </t>
    </r>
  </si>
  <si>
    <r>
      <t>CAISO Participation ROE Adder</t>
    </r>
    <r>
      <rPr>
        <u/>
        <vertAlign val="superscript"/>
        <sz val="12"/>
        <rFont val="Times New Roman"/>
        <family val="1"/>
      </rPr>
      <t>3</t>
    </r>
    <r>
      <rPr>
        <u/>
        <sz val="12"/>
        <rFont val="Times New Roman"/>
        <family val="1"/>
      </rPr>
      <t>:</t>
    </r>
    <r>
      <rPr>
        <sz val="12"/>
        <rFont val="Times New Roman"/>
        <family val="1"/>
      </rPr>
      <t xml:space="preserve"> </t>
    </r>
  </si>
  <si>
    <t>CAISO Participation ROE Adder will not be changed unless FERC or a court of competent jurisdiction issues an order authorizing SDG&amp;E to include the 50 basis point CAISO participation adder in the TO6 Formula Rate.</t>
  </si>
  <si>
    <t>Col. c = Page 1, Line 33</t>
  </si>
  <si>
    <r>
      <t xml:space="preserve">Derivation of Non-CAISO Prior Year Revenue Requirements (PYRR </t>
    </r>
    <r>
      <rPr>
        <b/>
        <vertAlign val="subscript"/>
        <sz val="12"/>
        <rFont val="Times New Roman"/>
        <family val="1"/>
      </rPr>
      <t>EU</t>
    </r>
    <r>
      <rPr>
        <b/>
        <sz val="12"/>
        <rFont val="Times New Roman"/>
        <family val="1"/>
      </rPr>
      <t>)</t>
    </r>
  </si>
  <si>
    <r>
      <t xml:space="preserve">A. End of Prior Year Revenue Requirement (PYRR </t>
    </r>
    <r>
      <rPr>
        <b/>
        <u/>
        <vertAlign val="subscript"/>
        <sz val="12"/>
        <rFont val="Times New Roman"/>
        <family val="1"/>
      </rPr>
      <t>EU</t>
    </r>
    <r>
      <rPr>
        <b/>
        <u/>
        <sz val="12"/>
        <rFont val="Times New Roman"/>
        <family val="1"/>
      </rPr>
      <t>):</t>
    </r>
  </si>
  <si>
    <r>
      <t xml:space="preserve">     End of Prior Year Revenue Requirement (PYRR </t>
    </r>
    <r>
      <rPr>
        <vertAlign val="subscript"/>
        <sz val="12"/>
        <rFont val="Times New Roman"/>
        <family val="1"/>
      </rPr>
      <t>EU</t>
    </r>
    <r>
      <rPr>
        <sz val="12"/>
        <rFont val="Times New Roman"/>
        <family val="1"/>
      </rPr>
      <t>) Excluding FF&amp;U</t>
    </r>
  </si>
  <si>
    <r>
      <t>B. Incentive ROE Project Transmission Revenue Requirement:</t>
    </r>
    <r>
      <rPr>
        <b/>
        <sz val="12"/>
        <rFont val="Times New Roman"/>
        <family val="1"/>
      </rPr>
      <t xml:space="preserve"> </t>
    </r>
    <r>
      <rPr>
        <b/>
        <vertAlign val="superscript"/>
        <sz val="12"/>
        <rFont val="Times New Roman"/>
        <family val="1"/>
      </rPr>
      <t>1, 2</t>
    </r>
  </si>
  <si>
    <t xml:space="preserve">     Total Incentive ROE Project Transmission Revenue Requirement</t>
  </si>
  <si>
    <r>
      <t>C. Incentive Transmission Plant Abandoned Project Revenue Requirement:</t>
    </r>
    <r>
      <rPr>
        <b/>
        <sz val="12"/>
        <rFont val="Times New Roman"/>
        <family val="1"/>
      </rPr>
      <t xml:space="preserve"> </t>
    </r>
    <r>
      <rPr>
        <b/>
        <vertAlign val="superscript"/>
        <sz val="12"/>
        <rFont val="Times New Roman"/>
        <family val="1"/>
      </rPr>
      <t>1, 2</t>
    </r>
  </si>
  <si>
    <t xml:space="preserve">     Total Incentive Transmission Plant Abandoned Project Revenue Requirement</t>
  </si>
  <si>
    <r>
      <t>D. Incentive Transmission Construction Work In Progress (CWIP) Revenue Requirement:</t>
    </r>
    <r>
      <rPr>
        <b/>
        <sz val="12"/>
        <rFont val="Times New Roman"/>
        <family val="1"/>
      </rPr>
      <t xml:space="preserve"> </t>
    </r>
    <r>
      <rPr>
        <b/>
        <vertAlign val="superscript"/>
        <sz val="12"/>
        <rFont val="Times New Roman"/>
        <family val="1"/>
      </rPr>
      <t>1, 2</t>
    </r>
  </si>
  <si>
    <t xml:space="preserve">     Total Incentive CWIP Revenue Requirement</t>
  </si>
  <si>
    <r>
      <t xml:space="preserve">     Total Incentive End of Prior Year Revenue Requirement (PYRR </t>
    </r>
    <r>
      <rPr>
        <vertAlign val="subscript"/>
        <sz val="12"/>
        <rFont val="Times New Roman"/>
        <family val="1"/>
      </rPr>
      <t>EU-IR</t>
    </r>
    <r>
      <rPr>
        <sz val="12"/>
        <rFont val="Times New Roman"/>
        <family val="1"/>
      </rPr>
      <t>) Excluding FF&amp;U</t>
    </r>
  </si>
  <si>
    <t>The revenue requirements attributed to Transmission Plant Abandoned Projects and Transmission Construction  Work in Progress (CWIP) incentives are derived using the regular Cost of Capital Rate.</t>
  </si>
  <si>
    <t>Total Prior Year Revenue Requirements (PYRR) or Base Period Revenue Requirement is for 12 months ending the applicable cycle base period.</t>
  </si>
  <si>
    <r>
      <t xml:space="preserve">Derivation of Non-CAISO Forecast Period Capital Additions Revenue Requirements (FC </t>
    </r>
    <r>
      <rPr>
        <b/>
        <vertAlign val="subscript"/>
        <sz val="12"/>
        <rFont val="Times New Roman"/>
        <family val="1"/>
      </rPr>
      <t>EU</t>
    </r>
    <r>
      <rPr>
        <b/>
        <sz val="12"/>
        <rFont val="Times New Roman"/>
        <family val="1"/>
      </rPr>
      <t>)</t>
    </r>
  </si>
  <si>
    <r>
      <t xml:space="preserve">Derivation of Non-CAISO Base Transmission Revenue Requirements (BTRR </t>
    </r>
    <r>
      <rPr>
        <b/>
        <vertAlign val="subscript"/>
        <sz val="12"/>
        <rFont val="Times New Roman"/>
        <family val="1"/>
      </rPr>
      <t>EU</t>
    </r>
    <r>
      <rPr>
        <b/>
        <sz val="12"/>
        <rFont val="Times New Roman"/>
        <family val="1"/>
      </rPr>
      <t>)</t>
    </r>
  </si>
  <si>
    <r>
      <t xml:space="preserve">A. Non-CAISO Customer Base Transmission Revenue Requirement (BTRR </t>
    </r>
    <r>
      <rPr>
        <b/>
        <u/>
        <vertAlign val="subscript"/>
        <sz val="12"/>
        <rFont val="Times New Roman"/>
        <family val="1"/>
      </rPr>
      <t>EU</t>
    </r>
    <r>
      <rPr>
        <b/>
        <u/>
        <sz val="12"/>
        <rFont val="Times New Roman"/>
        <family val="1"/>
      </rPr>
      <t>):</t>
    </r>
  </si>
  <si>
    <r>
      <t xml:space="preserve">End of Prior Year Revenue Requirement (PYRR </t>
    </r>
    <r>
      <rPr>
        <vertAlign val="subscript"/>
        <sz val="12"/>
        <rFont val="Times New Roman"/>
        <family val="1"/>
      </rPr>
      <t>EU</t>
    </r>
    <r>
      <rPr>
        <sz val="12"/>
        <rFont val="Times New Roman"/>
        <family val="1"/>
      </rPr>
      <t>) Excluding FF&amp;U</t>
    </r>
  </si>
  <si>
    <r>
      <t xml:space="preserve">Incentive End of Prior Year Revenue Requirement (PYRR </t>
    </r>
    <r>
      <rPr>
        <vertAlign val="subscript"/>
        <sz val="12"/>
        <rFont val="Times New Roman"/>
        <family val="1"/>
      </rPr>
      <t>EU-IR</t>
    </r>
    <r>
      <rPr>
        <sz val="12"/>
        <rFont val="Times New Roman"/>
        <family val="1"/>
      </rPr>
      <t>) Excluding FF&amp;U</t>
    </r>
  </si>
  <si>
    <t xml:space="preserve">Non-CAISO True-Up Period Adjustment </t>
  </si>
  <si>
    <t>Non-CAISO Interest True-Up Adjustment</t>
  </si>
  <si>
    <r>
      <t xml:space="preserve">C. Subtotal BTRR </t>
    </r>
    <r>
      <rPr>
        <b/>
        <u/>
        <vertAlign val="subscript"/>
        <sz val="12"/>
        <rFont val="Times New Roman"/>
        <family val="1"/>
      </rPr>
      <t>EU</t>
    </r>
    <r>
      <rPr>
        <b/>
        <u/>
        <sz val="12"/>
        <rFont val="Times New Roman"/>
        <family val="1"/>
      </rPr>
      <t xml:space="preserve"> With FF&amp;U:</t>
    </r>
  </si>
  <si>
    <r>
      <t xml:space="preserve">E. Total BTRR </t>
    </r>
    <r>
      <rPr>
        <b/>
        <u/>
        <vertAlign val="subscript"/>
        <sz val="12"/>
        <rFont val="Times New Roman"/>
        <family val="1"/>
      </rPr>
      <t>EU</t>
    </r>
    <r>
      <rPr>
        <b/>
        <u/>
        <sz val="12"/>
        <rFont val="Times New Roman"/>
        <family val="1"/>
      </rPr>
      <t xml:space="preserve"> With FF&amp;U:</t>
    </r>
  </si>
  <si>
    <t>A. Derivation of Revenue Requirement Related With Total Transmission Facilities:</t>
  </si>
  <si>
    <r>
      <t xml:space="preserve">BTRR </t>
    </r>
    <r>
      <rPr>
        <vertAlign val="subscript"/>
        <sz val="12"/>
        <rFont val="Times New Roman"/>
        <family val="1"/>
      </rPr>
      <t>EU</t>
    </r>
    <r>
      <rPr>
        <sz val="12"/>
        <rFont val="Times New Roman"/>
        <family val="1"/>
      </rPr>
      <t xml:space="preserve"> Excluding FF&amp;U</t>
    </r>
  </si>
  <si>
    <t>Less: CPUC Intervenor Funding Expense Revenue Requirement Adjustment - Base ROE</t>
  </si>
  <si>
    <t>Less: CPUC Intervenor Funding Expense Revenue Requirement Adjustment - CAISO Participation ROE Adder</t>
  </si>
  <si>
    <r>
      <t xml:space="preserve">     Total BTRR </t>
    </r>
    <r>
      <rPr>
        <vertAlign val="subscript"/>
        <sz val="12"/>
        <rFont val="Times New Roman"/>
        <family val="1"/>
      </rPr>
      <t>CAISO</t>
    </r>
    <r>
      <rPr>
        <sz val="12"/>
        <rFont val="Times New Roman"/>
        <family val="1"/>
      </rPr>
      <t xml:space="preserve"> Excluding Franchise Fees</t>
    </r>
  </si>
  <si>
    <t xml:space="preserve">    Total HV/LV Transmission Forecast Plant Additions Revenue Requirements</t>
  </si>
  <si>
    <r>
      <t xml:space="preserve">     Subtotal BTRR </t>
    </r>
    <r>
      <rPr>
        <vertAlign val="subscript"/>
        <sz val="12"/>
        <rFont val="Times New Roman"/>
        <family val="1"/>
      </rPr>
      <t>CAISO</t>
    </r>
    <r>
      <rPr>
        <sz val="12"/>
        <rFont val="Times New Roman"/>
        <family val="1"/>
      </rPr>
      <t xml:space="preserve"> With Franchise Fees</t>
    </r>
  </si>
  <si>
    <r>
      <t xml:space="preserve">E. Total BTRR </t>
    </r>
    <r>
      <rPr>
        <b/>
        <u/>
        <vertAlign val="subscript"/>
        <sz val="12"/>
        <rFont val="Times New Roman"/>
        <family val="1"/>
      </rPr>
      <t>CAISO</t>
    </r>
    <r>
      <rPr>
        <b/>
        <u/>
        <sz val="12"/>
        <rFont val="Times New Roman"/>
        <family val="1"/>
      </rPr>
      <t xml:space="preserve"> With Franchise Fees </t>
    </r>
    <r>
      <rPr>
        <b/>
        <u/>
        <vertAlign val="superscript"/>
        <sz val="12"/>
        <rFont val="Times New Roman"/>
        <family val="1"/>
      </rPr>
      <t>4</t>
    </r>
  </si>
  <si>
    <r>
      <t xml:space="preserve">The following HV/LV BTRR </t>
    </r>
    <r>
      <rPr>
        <vertAlign val="subscript"/>
        <sz val="12"/>
        <rFont val="Times New Roman"/>
        <family val="1"/>
      </rPr>
      <t>CAISO</t>
    </r>
    <r>
      <rPr>
        <sz val="12"/>
        <rFont val="Times New Roman"/>
        <family val="1"/>
      </rPr>
      <t xml:space="preserve"> will be used by the CAISO to develop the TAC rates for the applicable rate effective period. </t>
    </r>
  </si>
  <si>
    <r>
      <t xml:space="preserve">The CPUC Intervenor Expense for Transmission shall be treated as an exclusion in A&amp;G but added back to the BTRR </t>
    </r>
    <r>
      <rPr>
        <vertAlign val="subscript"/>
        <sz val="12"/>
        <rFont val="Times New Roman"/>
        <family val="1"/>
      </rPr>
      <t>EU</t>
    </r>
    <r>
      <rPr>
        <sz val="12"/>
        <rFont val="Times New Roman"/>
        <family val="1"/>
      </rPr>
      <t xml:space="preserve"> on Statement BK-1; Page 1; Line 5. This expense will be</t>
    </r>
  </si>
  <si>
    <r>
      <t xml:space="preserve">excluded in BTRR </t>
    </r>
    <r>
      <rPr>
        <vertAlign val="subscript"/>
        <sz val="12"/>
        <rFont val="Times New Roman"/>
        <family val="1"/>
      </rPr>
      <t>CAISO</t>
    </r>
    <r>
      <rPr>
        <sz val="12"/>
        <rFont val="Times New Roman"/>
        <family val="1"/>
      </rPr>
      <t xml:space="preserve"> on Statement BK-2; Line 3.</t>
    </r>
  </si>
  <si>
    <r>
      <t xml:space="preserve">Adj. to Transmission Related Cash Working Capital - BTRR </t>
    </r>
    <r>
      <rPr>
        <vertAlign val="subscript"/>
        <sz val="12"/>
        <rFont val="Times New Roman"/>
        <family val="1"/>
      </rPr>
      <t>CAISO</t>
    </r>
  </si>
  <si>
    <r>
      <t xml:space="preserve">D. Adj. to Back Out CPUC Intervenor Funding Exp. Embedded in BTRR </t>
    </r>
    <r>
      <rPr>
        <u/>
        <vertAlign val="subscript"/>
        <sz val="12"/>
        <rFont val="Times New Roman"/>
        <family val="1"/>
      </rPr>
      <t>EU</t>
    </r>
    <r>
      <rPr>
        <u/>
        <sz val="12"/>
        <rFont val="Times New Roman"/>
        <family val="1"/>
      </rPr>
      <t xml:space="preserve"> Working Cash:</t>
    </r>
  </si>
  <si>
    <r>
      <t xml:space="preserve">     Transmission Related Cash Working Capital - BTRR </t>
    </r>
    <r>
      <rPr>
        <vertAlign val="subscript"/>
        <sz val="12"/>
        <rFont val="Times New Roman"/>
        <family val="1"/>
      </rPr>
      <t>EU</t>
    </r>
  </si>
  <si>
    <r>
      <t xml:space="preserve">C. Derivation of Transmission Related Cash Working Capital - BTRR </t>
    </r>
    <r>
      <rPr>
        <u/>
        <vertAlign val="subscript"/>
        <sz val="12"/>
        <rFont val="Times New Roman"/>
        <family val="1"/>
      </rPr>
      <t>EU</t>
    </r>
    <r>
      <rPr>
        <u/>
        <sz val="12"/>
        <rFont val="Times New Roman"/>
        <family val="1"/>
      </rPr>
      <t>:</t>
    </r>
  </si>
  <si>
    <t>SDG&amp;E's recorded Non-CAISO Transmission Revenues, excluding TACBAA and TRBAA, during the true-up period.</t>
  </si>
  <si>
    <t>Base Period &amp; True-Up Period Ending December 31, 2025</t>
  </si>
  <si>
    <t>BASE PERIOD 12 MONTHS ENDING DECEMBER 31, 2025</t>
  </si>
  <si>
    <t>Not Applicable to 2025 Base Period</t>
  </si>
  <si>
    <t>Remeasured amount reported in column (a) includes ($150) million in state related deferred tax liabilities. Deficient reserve amount in column (b) and the Grand Total calculated on Order 864-3; Line 32; Col. 12 for federal taxes</t>
  </si>
  <si>
    <t xml:space="preserve">includes $11.6M related to Federal Benefit of State Taxes. </t>
  </si>
  <si>
    <t>2025 Form 1; Page 234; Footnote Data (d)</t>
  </si>
  <si>
    <t xml:space="preserve">2025 Form 1; Page 274-275; Footnote Data (b) </t>
  </si>
  <si>
    <t>2025 Form 1; Page 276-277; Footnote Data (b)</t>
  </si>
  <si>
    <t xml:space="preserve">Remeasured amount reported in column (a) includes ($142) million in state related deferred tax liabilities.  Deficient reserve amount in column (b) and the Grand Total calculated on Order 864-1; Line 32; Col. 12 for federal taxes </t>
  </si>
  <si>
    <t>includes $11.7M related to Federal Benefit of State Taxes.</t>
  </si>
  <si>
    <t xml:space="preserve">2025 Form 1; Page 234; Footnote Data (c) </t>
  </si>
  <si>
    <t>2025 Form 1; Page 276-277; Footnote Data (a)</t>
  </si>
  <si>
    <t>Base Period &amp; True-Up Period 12 - Months Ending December 31, 2025</t>
  </si>
  <si>
    <t>The total year-end Account 190 electric balance reported on FERC Form 1; Page 234; Footnote Data (b) is $1,736,898. The amortization of Account 190 at $1,652K</t>
  </si>
  <si>
    <t>shown in line 7 excludes the portion of Account 190 attributable to Citizens in the amount of $85K which is recovered separately in the Appendix X Citizens Sunrise rate filing.</t>
  </si>
  <si>
    <t>BASE PERIOD / TRUE UP PERIOD - 12/31/2025 PER BOOK</t>
  </si>
  <si>
    <t>Jan-25</t>
  </si>
  <si>
    <t>Dec-25</t>
  </si>
  <si>
    <t>12 Months Ending December 31, 2025</t>
  </si>
  <si>
    <t>Feb-25</t>
  </si>
  <si>
    <t>Mar-25</t>
  </si>
  <si>
    <t>Apr-25</t>
  </si>
  <si>
    <t>May-25</t>
  </si>
  <si>
    <t>Jun-25</t>
  </si>
  <si>
    <t>Jul-25</t>
  </si>
  <si>
    <t>Aug-25</t>
  </si>
  <si>
    <t>Sep-25</t>
  </si>
  <si>
    <t>Oct-25</t>
  </si>
  <si>
    <t>Nov-25</t>
  </si>
  <si>
    <t>TO6-Cycle 3 Annual Transmission Formula Filing</t>
  </si>
  <si>
    <t xml:space="preserve"> 12 Months Ending December 31, 2025</t>
  </si>
  <si>
    <t>For Completed Transmission Capital Projects from 2001 Through 2025</t>
  </si>
  <si>
    <t>Applicable to the 2025 TO6-Cycle 3 Base Period &amp; True-Up Period</t>
  </si>
  <si>
    <t>TRANSMISSION PLANT BALANCE AS OF DECEMBER 31, 2025</t>
  </si>
  <si>
    <t>None of the above items apply to SDG&amp;E's TO6 Cycle 3 filing. However, as one or more of these items apply, subject to FERC approval, the</t>
  </si>
  <si>
    <t>FERC Acct 926, Employee Pensions &amp; Benefits, includes approximately $XXXK for PBOP of which approximately $XXXK is Transmission related.</t>
  </si>
  <si>
    <r>
      <t xml:space="preserve">Adjustment to back-out Other BTRR </t>
    </r>
    <r>
      <rPr>
        <vertAlign val="subscript"/>
        <sz val="12"/>
        <color theme="1"/>
        <rFont val="Times New Roman"/>
        <family val="1"/>
      </rPr>
      <t>EU</t>
    </r>
    <r>
      <rPr>
        <sz val="12"/>
        <color theme="1"/>
        <rFont val="Times New Roman"/>
        <family val="1"/>
      </rPr>
      <t xml:space="preserve"> Adjustments from a prior year BK-1; Page 7, which is included in the recorded monthly true-up revenues in Column 3. Such adjustments include, but are not limited to, error adjustments and out-of-cycle recovery or refunds ordered by the</t>
    </r>
  </si>
  <si>
    <t>√</t>
  </si>
  <si>
    <t>BALANCES AS OF 12/31/2025</t>
  </si>
  <si>
    <t>2025 Form 1; Page 200-201; Footnote Data (b)</t>
  </si>
  <si>
    <t>2025 Form 1; Page 356.1; Accts 303 to 398</t>
  </si>
  <si>
    <t>2025 Form 1; Page 356.1; Electric</t>
  </si>
  <si>
    <t>2025 Form 1; Page 356; Accts 303 to 398</t>
  </si>
  <si>
    <t>2025 Form 1; Page 356; Electric</t>
  </si>
  <si>
    <t xml:space="preserve">Items in BOLD do not tie to the TO6 Cycle 2 included in the Offer of Settlement filing per ER25-270-002 and/or the 2025 FERC Form 1 filed on April 17, 2026 due to AFUDC adjustments made in </t>
  </si>
  <si>
    <t>response to settlement negotiations and other adjustments from the Transmission Project Review process.</t>
  </si>
  <si>
    <t>Negative of AH-2; Line 16; Col. B + AH-2; Line 30; Col. A</t>
  </si>
  <si>
    <t>Negative of AH-2; Line 30; Col. a</t>
  </si>
  <si>
    <t>TO6-Cycle 3 True-Up Adjustment</t>
  </si>
  <si>
    <t>For 12-Month True-Up Period January 1, 2025 Through December 31, 2025</t>
  </si>
  <si>
    <t>Cycle 3, For 12 - Months Ending December 31, 2025</t>
  </si>
  <si>
    <t>For Use During the 12-Months Period from January 1 to December 31, 2025</t>
  </si>
  <si>
    <t>2025 Common Rates</t>
  </si>
  <si>
    <t>2025 General Rates</t>
  </si>
  <si>
    <t>TO6 Cycle 3 because the new TO6 Depreciation rates are not reflected in SDG&amp;E's</t>
  </si>
  <si>
    <t xml:space="preserve">Accounting System until the Settlement is approved by FERC. </t>
  </si>
  <si>
    <r>
      <t xml:space="preserve">Per Book </t>
    </r>
    <r>
      <rPr>
        <b/>
        <vertAlign val="superscript"/>
        <sz val="12"/>
        <rFont val="Times New Roman"/>
        <family val="1"/>
      </rPr>
      <t>1</t>
    </r>
  </si>
  <si>
    <t>571</t>
  </si>
  <si>
    <t>Tree Trimming error correction</t>
  </si>
  <si>
    <r>
      <t>Ratemaking</t>
    </r>
    <r>
      <rPr>
        <b/>
        <vertAlign val="superscript"/>
        <sz val="12"/>
        <rFont val="Times New Roman"/>
        <family val="1"/>
      </rPr>
      <t xml:space="preserve"> 2</t>
    </r>
  </si>
  <si>
    <t xml:space="preserve">These balances include Other Renewable Production Plant. </t>
  </si>
  <si>
    <t xml:space="preserve">These balances include Energy Storage Plant. </t>
  </si>
  <si>
    <r>
      <t>Transmission Plant Allocation Factor</t>
    </r>
    <r>
      <rPr>
        <b/>
        <vertAlign val="superscript"/>
        <sz val="12"/>
        <rFont val="Times New Roman"/>
        <family val="1"/>
      </rPr>
      <t xml:space="preserve">  6</t>
    </r>
  </si>
  <si>
    <r>
      <t>Total Electric Miscellaneous Intangible Plant</t>
    </r>
    <r>
      <rPr>
        <b/>
        <sz val="12"/>
        <rFont val="Times New Roman"/>
        <family val="1"/>
      </rPr>
      <t xml:space="preserve"> </t>
    </r>
    <r>
      <rPr>
        <b/>
        <vertAlign val="superscript"/>
        <sz val="12"/>
        <rFont val="Times New Roman"/>
        <family val="1"/>
      </rPr>
      <t>2, 5</t>
    </r>
  </si>
  <si>
    <r>
      <t>Total General Plant</t>
    </r>
    <r>
      <rPr>
        <b/>
        <sz val="12"/>
        <rFont val="Times New Roman"/>
        <family val="1"/>
      </rPr>
      <t xml:space="preserve"> </t>
    </r>
    <r>
      <rPr>
        <b/>
        <vertAlign val="superscript"/>
        <sz val="12"/>
        <rFont val="Times New Roman"/>
        <family val="1"/>
      </rPr>
      <t>2, 5</t>
    </r>
  </si>
  <si>
    <r>
      <t xml:space="preserve">Total Common Plant </t>
    </r>
    <r>
      <rPr>
        <b/>
        <vertAlign val="superscript"/>
        <sz val="12"/>
        <rFont val="Times New Roman"/>
        <family val="1"/>
      </rPr>
      <t>2, 5</t>
    </r>
  </si>
  <si>
    <r>
      <t xml:space="preserve">Total Other Production Plant </t>
    </r>
    <r>
      <rPr>
        <b/>
        <vertAlign val="superscript"/>
        <sz val="12"/>
        <rFont val="Times New Roman"/>
        <family val="1"/>
      </rPr>
      <t>1,3</t>
    </r>
    <r>
      <rPr>
        <vertAlign val="superscript"/>
        <sz val="12"/>
        <rFont val="Times New Roman"/>
        <family val="1"/>
      </rPr>
      <t>,4</t>
    </r>
  </si>
  <si>
    <r>
      <t xml:space="preserve">Total Distribution Plant </t>
    </r>
    <r>
      <rPr>
        <b/>
        <vertAlign val="superscript"/>
        <sz val="12"/>
        <rFont val="Times New Roman"/>
        <family val="1"/>
      </rPr>
      <t>2,3</t>
    </r>
    <r>
      <rPr>
        <vertAlign val="superscript"/>
        <sz val="12"/>
        <rFont val="Times New Roman"/>
        <family val="1"/>
      </rPr>
      <t>,4</t>
    </r>
  </si>
  <si>
    <t>Other Production Plant and Distribution Plant include Other Renewable Production Plant and Energy Storage Plant, respectively.</t>
  </si>
  <si>
    <t xml:space="preserve">E351 </t>
  </si>
  <si>
    <t xml:space="preserve">E352 </t>
  </si>
  <si>
    <t>E0139730</t>
  </si>
  <si>
    <t>Communication Equip</t>
  </si>
  <si>
    <t xml:space="preserve">Commission for a previous year. </t>
  </si>
  <si>
    <t>For the Base Period &amp; True-Up Period Ending December 31, 2025</t>
  </si>
  <si>
    <t>TO6-Cycle 3 Interest True-Up Adjustment</t>
  </si>
  <si>
    <t>Negative of True-Up AH-2; Line 35; Col. a</t>
  </si>
  <si>
    <t>Negative of True-Up AH-2; Sum Lines (23, 29, 36); Col. a ; and Sum Lines (20, 21, 22, 25, 38); Col. b</t>
  </si>
  <si>
    <t>Negative of True-Up AH-2; Line 31; Col. a</t>
  </si>
  <si>
    <t>Negative of True-Up AH-2; Line 32; Col. a</t>
  </si>
  <si>
    <t>Negative of True-Up AH-2; Line 34; Col. b</t>
  </si>
  <si>
    <t>Negative of True-Up AH-2; Line 26; Col. b</t>
  </si>
  <si>
    <t>Negative of True-Up AH-2; Line 39; Col. b</t>
  </si>
  <si>
    <t>Negative of True-Up AH-2; Line 28; Col. a</t>
  </si>
  <si>
    <t>Negative of True-Up AH-2; Sum Lines (24, 30, 37, 40); Col. a; and Line 33; Col. b</t>
  </si>
  <si>
    <r>
      <t xml:space="preserve">The CPUC Intervenor Expense for Transmission shall be treated as an exclusion in A&amp;G but added back to the BTRR </t>
    </r>
    <r>
      <rPr>
        <vertAlign val="subscript"/>
        <sz val="12"/>
        <rFont val="Times New Roman"/>
        <family val="1"/>
      </rPr>
      <t>EU</t>
    </r>
    <r>
      <rPr>
        <sz val="12"/>
        <rFont val="Times New Roman"/>
        <family val="1"/>
      </rPr>
      <t xml:space="preserve"> on BK-1; Page 1; Line 5. This expense will be</t>
    </r>
  </si>
  <si>
    <r>
      <t xml:space="preserve">excluded in BTRR </t>
    </r>
    <r>
      <rPr>
        <vertAlign val="subscript"/>
        <sz val="12"/>
        <rFont val="Times New Roman"/>
        <family val="1"/>
      </rPr>
      <t>CAISO</t>
    </r>
    <r>
      <rPr>
        <sz val="12"/>
        <rFont val="Times New Roman"/>
        <family val="1"/>
      </rPr>
      <t xml:space="preserve"> on BK-2; Line 3.</t>
    </r>
  </si>
  <si>
    <t>Base Period 12 Months Ending December 31, 2025</t>
  </si>
  <si>
    <t>Other Unfunded Reserve</t>
  </si>
  <si>
    <t>Placeholder for New Unfunded Reserve</t>
  </si>
  <si>
    <t xml:space="preserve">   Other Unfunded Reserve - Acct. XXX</t>
  </si>
  <si>
    <t xml:space="preserve">     Total Other Unfunded Reserve</t>
  </si>
  <si>
    <t>Line 22 x Line 23</t>
  </si>
  <si>
    <t>2024 FERC Form 1; Common Utility Plant and Expenses; Page 356</t>
  </si>
  <si>
    <t>Statement AI; Line 15; TO6-Cycle 2 ER26-632-000</t>
  </si>
  <si>
    <t>True-Up Misc.-1.1; Line 24</t>
  </si>
  <si>
    <t>BASE PERIOD / TRUE UP PERIOD - 12/31/2025</t>
  </si>
  <si>
    <t>For the Forecast Period January 1, 2026 - December 31, 2027</t>
  </si>
  <si>
    <t>For the Rate Effective Period January 1, 2027 - December 31, 2027</t>
  </si>
  <si>
    <r>
      <t>CAISO Participation ROE Adder:</t>
    </r>
    <r>
      <rPr>
        <sz val="12"/>
        <rFont val="Times New Roman"/>
        <family val="1"/>
      </rPr>
      <t xml:space="preserve"> </t>
    </r>
    <r>
      <rPr>
        <b/>
        <vertAlign val="superscript"/>
        <sz val="12"/>
        <rFont val="Times New Roman"/>
        <family val="1"/>
      </rPr>
      <t>2</t>
    </r>
  </si>
  <si>
    <r>
      <t>Revenues</t>
    </r>
    <r>
      <rPr>
        <b/>
        <sz val="12"/>
        <rFont val="Times New Roman"/>
        <family val="1"/>
      </rPr>
      <t xml:space="preserve"> </t>
    </r>
    <r>
      <rPr>
        <b/>
        <vertAlign val="superscript"/>
        <sz val="12"/>
        <rFont val="Times New Roman"/>
        <family val="1"/>
      </rPr>
      <t>2</t>
    </r>
  </si>
  <si>
    <t>SDG&amp;E's recorded Retail Transmission revenues, excluding TACBAA and TRBAA, during the true-up period.</t>
  </si>
  <si>
    <t>Adjustment to back-out Other BTRR Adjustments from a prior year BK-1; Page 7, which is included in the recorded monthly true-up revenues in Column 3. Such adjustments include, but are not limited to, error adjustments and out-of-cycle recovery or refunds ordered by the</t>
  </si>
  <si>
    <t>Represents the current Franchise Fees expense rate approved in SDG&amp;E's General Rate Case (GRC).</t>
  </si>
  <si>
    <r>
      <t>BTRR</t>
    </r>
    <r>
      <rPr>
        <vertAlign val="subscript"/>
        <sz val="9.6"/>
        <rFont val="Times New Roman"/>
        <family val="1"/>
      </rPr>
      <t>EU</t>
    </r>
    <r>
      <rPr>
        <sz val="12"/>
        <rFont val="Times New Roman"/>
        <family val="1"/>
      </rPr>
      <t xml:space="preserve"> and BTRR</t>
    </r>
    <r>
      <rPr>
        <vertAlign val="subscript"/>
        <sz val="12"/>
        <rFont val="Times New Roman"/>
        <family val="1"/>
      </rPr>
      <t>CAISO</t>
    </r>
    <r>
      <rPr>
        <sz val="12"/>
        <rFont val="Times New Roman"/>
        <family val="1"/>
      </rPr>
      <t xml:space="preserve"> in the BK Cost Statements.</t>
    </r>
  </si>
  <si>
    <t>Items in BOLD do not tie to the TO6 Cycle 2 included in the Offer of Settlement filing per ER25-270-002 and/or the 2025 FERC Form 1 filed on April 17, 2026 due to AFUDC adjustments made in response to settlement negotiations and other adjustments from the Transmission Project Review process.</t>
  </si>
  <si>
    <t>Items in BOLD do not tie to the 2025 FERC Form 1 filed on April 17, 2026 due to AFUDC adjustments made in response to settlement negotiations compared to the revised TO6 Cycle 2 included in the Offer of Settlement filing per ER25-270-002 and other adjustments resulting from the Transmission Project Review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</si>
</sst>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2">
    <numFmt numFmtId="5" formatCode="&quot;$&quot;#,##0_);\(&quot;$&quot;#,##0\)"/>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409]d\-mmm\-yy;@"/>
    <numFmt numFmtId="165" formatCode="_(&quot;$&quot;* #,##0_);_(&quot;$&quot;* \(#,##0\);_(&quot;$&quot;* &quot;-&quot;??_);_(@_)"/>
    <numFmt numFmtId="166" formatCode="_(* #,##0_);_(* \(#,##0\);_(* &quot;-&quot;??_);_(@_)"/>
    <numFmt numFmtId="167" formatCode="0.0000%"/>
    <numFmt numFmtId="168" formatCode="_(* #,##0.0_);_(* \(#,##0.0\);_(* &quot;-&quot;??_);_(@_)"/>
    <numFmt numFmtId="169" formatCode="0.000%"/>
    <numFmt numFmtId="170" formatCode="0.0"/>
    <numFmt numFmtId="171" formatCode="_(* #,##0.000_);_(* \(#,##0.000\);_(* &quot;-&quot;??_);_(@_)"/>
    <numFmt numFmtId="172" formatCode="mmmm\-yy"/>
    <numFmt numFmtId="173" formatCode="_(&quot;$&quot;* #,##0.0_);_(&quot;$&quot;* \(#,##0.0\);_(&quot;$&quot;* &quot;-&quot;??_);_(@_)"/>
    <numFmt numFmtId="174" formatCode="#,##0.0_);\(#,##0.0\)"/>
    <numFmt numFmtId="175" formatCode="[$-409]mmmm\-yy;@"/>
    <numFmt numFmtId="176" formatCode="_(* #,##0.0000_);_(* \(#,##0.0000\);_(* &quot;-&quot;??_);_(@_)"/>
    <numFmt numFmtId="177" formatCode="0.00000"/>
    <numFmt numFmtId="178" formatCode="0.0000"/>
    <numFmt numFmtId="179" formatCode="0\ \ "/>
    <numFmt numFmtId="180" formatCode="#,##0\ \ \ \ \ \ \ "/>
    <numFmt numFmtId="181" formatCode="[$-409]mmm\-yy;@"/>
    <numFmt numFmtId="182" formatCode="0.000000"/>
    <numFmt numFmtId="183" formatCode="0_);\(0\)"/>
    <numFmt numFmtId="184" formatCode="&quot;$&quot;#,##0"/>
    <numFmt numFmtId="185" formatCode="0.0%"/>
    <numFmt numFmtId="186" formatCode="&quot;$&quot;#,##0,_);[Red]\(&quot;$&quot;#,##0,\)"/>
    <numFmt numFmtId="187" formatCode="_(&quot;$&quot;* #,##0,_);_(&quot;$&quot;* \(#,##0,\);_(&quot;$&quot;* &quot;-&quot;??_);_(@_)"/>
    <numFmt numFmtId="188" formatCode="_(&quot;$&quot;* #,##0.0000000_);_(&quot;$&quot;* \(#,##0.0000000\);_(&quot;$&quot;* &quot;-&quot;??_);_(@_)"/>
    <numFmt numFmtId="189" formatCode="#,##0.0000_);\(#,##0.0000\)"/>
    <numFmt numFmtId="190" formatCode="&quot;$&quot;#,##0.00"/>
    <numFmt numFmtId="191" formatCode="0.00000000000000000%"/>
    <numFmt numFmtId="192" formatCode="_(* #,##0.0000000_);_(* \(#,##0.0000000\);_(* &quot;-&quot;???????_);_(@_)"/>
    <numFmt numFmtId="193" formatCode="0.000"/>
    <numFmt numFmtId="194" formatCode="_(* #,##0.0000_);_(* \(#,##0.0000\);_(* &quot;-&quot;_);_(@_)"/>
    <numFmt numFmtId="195" formatCode="0.0000000000"/>
    <numFmt numFmtId="196" formatCode="0.000000000000000%"/>
    <numFmt numFmtId="197" formatCode="&quot;$&quot;#,##0.000,_);[Red]\(&quot;$&quot;#,##0.000,\)"/>
    <numFmt numFmtId="198" formatCode="00000"/>
    <numFmt numFmtId="199" formatCode="0.00000000%"/>
  </numFmts>
  <fonts count="79" x14ac:knownFonts="1">
    <font>
      <sz val="11"/>
      <color theme="1"/>
      <name val="Calibri"/>
      <family val="2"/>
      <scheme val="minor"/>
    </font>
    <font>
      <b/>
      <sz val="11"/>
      <color theme="1"/>
      <name val="Calibri"/>
      <family val="2"/>
      <scheme val="minor"/>
    </font>
    <font>
      <sz val="12"/>
      <name val="Times New Roman"/>
      <family val="1"/>
    </font>
    <font>
      <b/>
      <sz val="12"/>
      <name val="Times New Roman"/>
      <family val="1"/>
    </font>
    <font>
      <b/>
      <sz val="12"/>
      <color rgb="FFFF0000"/>
      <name val="Times New Roman"/>
      <family val="1"/>
    </font>
    <font>
      <u/>
      <sz val="12"/>
      <name val="Times New Roman"/>
      <family val="1"/>
    </font>
    <font>
      <b/>
      <vertAlign val="superscript"/>
      <sz val="12"/>
      <name val="Times New Roman"/>
      <family val="1"/>
    </font>
    <font>
      <b/>
      <sz val="12"/>
      <name val="Calibri"/>
      <family val="2"/>
    </font>
    <font>
      <b/>
      <u/>
      <sz val="12"/>
      <name val="Times New Roman"/>
      <family val="1"/>
    </font>
    <font>
      <sz val="12"/>
      <color indexed="12"/>
      <name val="Times New Roman"/>
      <family val="1"/>
    </font>
    <font>
      <vertAlign val="superscript"/>
      <sz val="12"/>
      <name val="Times New Roman"/>
      <family val="1"/>
    </font>
    <font>
      <sz val="10"/>
      <name val="Times New Roman"/>
      <family val="1"/>
    </font>
    <font>
      <sz val="12"/>
      <color indexed="10"/>
      <name val="Times New Roman"/>
      <family val="1"/>
    </font>
    <font>
      <b/>
      <i/>
      <u/>
      <sz val="12"/>
      <name val="Times New Roman"/>
      <family val="1"/>
    </font>
    <font>
      <i/>
      <sz val="12"/>
      <name val="Times New Roman"/>
      <family val="1"/>
    </font>
    <font>
      <vertAlign val="subscript"/>
      <sz val="12"/>
      <name val="Times New Roman"/>
      <family val="1"/>
    </font>
    <font>
      <sz val="12"/>
      <color theme="1"/>
      <name val="Times New Roman"/>
      <family val="1"/>
    </font>
    <font>
      <u/>
      <vertAlign val="subscript"/>
      <sz val="12"/>
      <name val="Times New Roman"/>
      <family val="1"/>
    </font>
    <font>
      <b/>
      <sz val="12"/>
      <color theme="1"/>
      <name val="Times New Roman"/>
      <family val="1"/>
    </font>
    <font>
      <b/>
      <vertAlign val="superscript"/>
      <sz val="12"/>
      <color theme="1"/>
      <name val="Times New Roman"/>
      <family val="1"/>
    </font>
    <font>
      <b/>
      <vertAlign val="subscript"/>
      <sz val="12"/>
      <name val="Times New Roman"/>
      <family val="1"/>
    </font>
    <font>
      <b/>
      <u/>
      <vertAlign val="subscript"/>
      <sz val="12"/>
      <name val="Times New Roman"/>
      <family val="1"/>
    </font>
    <font>
      <sz val="12"/>
      <color rgb="FFFF0000"/>
      <name val="Times New Roman"/>
      <family val="1"/>
    </font>
    <font>
      <strike/>
      <sz val="12"/>
      <color rgb="FFFF0000"/>
      <name val="Times New Roman"/>
      <family val="1"/>
    </font>
    <font>
      <b/>
      <i/>
      <sz val="12"/>
      <name val="Times New Roman"/>
      <family val="1"/>
    </font>
    <font>
      <strike/>
      <sz val="12"/>
      <name val="Times New Roman"/>
      <family val="1"/>
    </font>
    <font>
      <i/>
      <sz val="10"/>
      <name val="Times New Roman"/>
      <family val="1"/>
    </font>
    <font>
      <sz val="12"/>
      <color rgb="FFFF00FF"/>
      <name val="Times New Roman"/>
      <family val="1"/>
    </font>
    <font>
      <b/>
      <u/>
      <sz val="12"/>
      <color theme="1"/>
      <name val="Times New Roman"/>
      <family val="1"/>
    </font>
    <font>
      <sz val="12"/>
      <color theme="0"/>
      <name val="Times New Roman"/>
      <family val="1"/>
    </font>
    <font>
      <b/>
      <strike/>
      <sz val="12"/>
      <name val="Times New Roman"/>
      <family val="1"/>
    </font>
    <font>
      <b/>
      <sz val="12"/>
      <color rgb="FFFF00FF"/>
      <name val="Times New Roman"/>
      <family val="1"/>
    </font>
    <font>
      <sz val="12"/>
      <color rgb="FF222222"/>
      <name val="Times New Roman"/>
      <family val="1"/>
    </font>
    <font>
      <sz val="12"/>
      <color rgb="FF0070C0"/>
      <name val="Times New Roman"/>
      <family val="1"/>
    </font>
    <font>
      <sz val="11"/>
      <color theme="1"/>
      <name val="Times New Roman"/>
      <family val="1"/>
    </font>
    <font>
      <b/>
      <u/>
      <vertAlign val="superscript"/>
      <sz val="12"/>
      <name val="Times New Roman"/>
      <family val="1"/>
    </font>
    <font>
      <sz val="11"/>
      <name val="Calibri"/>
      <family val="2"/>
      <scheme val="minor"/>
    </font>
    <font>
      <b/>
      <sz val="12"/>
      <color rgb="FFFF0000"/>
      <name val="Calibri"/>
      <family val="2"/>
      <scheme val="minor"/>
    </font>
    <font>
      <b/>
      <sz val="10"/>
      <color theme="1"/>
      <name val="Times New Roman"/>
      <family val="1"/>
    </font>
    <font>
      <sz val="10"/>
      <color theme="1"/>
      <name val="Calibri"/>
      <family val="2"/>
      <scheme val="minor"/>
    </font>
    <font>
      <b/>
      <sz val="10"/>
      <name val="Times New Roman"/>
      <family val="1"/>
    </font>
    <font>
      <sz val="10"/>
      <color theme="1"/>
      <name val="Times New Roman"/>
      <family val="1"/>
    </font>
    <font>
      <b/>
      <u/>
      <sz val="10"/>
      <color theme="1"/>
      <name val="Times New Roman"/>
      <family val="1"/>
    </font>
    <font>
      <b/>
      <i/>
      <u/>
      <sz val="10"/>
      <color theme="1"/>
      <name val="Times New Roman"/>
      <family val="1"/>
    </font>
    <font>
      <u/>
      <sz val="10"/>
      <name val="Times New Roman"/>
      <family val="1"/>
    </font>
    <font>
      <b/>
      <i/>
      <sz val="12"/>
      <color rgb="FFFF0000"/>
      <name val="Times New Roman"/>
      <family val="1"/>
    </font>
    <font>
      <b/>
      <i/>
      <u/>
      <sz val="10"/>
      <name val="Times New Roman"/>
      <family val="1"/>
    </font>
    <font>
      <sz val="11"/>
      <name val="Times New Roman"/>
      <family val="1"/>
    </font>
    <font>
      <u val="singleAccounting"/>
      <sz val="10"/>
      <name val="Times New Roman"/>
      <family val="1"/>
    </font>
    <font>
      <b/>
      <sz val="12"/>
      <name val="Calibri"/>
      <family val="2"/>
      <scheme val="minor"/>
    </font>
    <font>
      <sz val="10"/>
      <name val="Calibri"/>
      <family val="2"/>
      <scheme val="minor"/>
    </font>
    <font>
      <b/>
      <sz val="10"/>
      <name val="Calibri"/>
      <family val="2"/>
      <scheme val="minor"/>
    </font>
    <font>
      <b/>
      <sz val="11"/>
      <name val="Calibri"/>
      <family val="2"/>
      <scheme val="minor"/>
    </font>
    <font>
      <b/>
      <u/>
      <sz val="10"/>
      <name val="Times New Roman"/>
      <family val="1"/>
    </font>
    <font>
      <sz val="10"/>
      <name val="Times New Roman"/>
      <family val="2"/>
    </font>
    <font>
      <sz val="10"/>
      <name val="Calibri"/>
      <family val="2"/>
    </font>
    <font>
      <sz val="8"/>
      <name val="Calibri"/>
      <family val="2"/>
      <scheme val="minor"/>
    </font>
    <font>
      <sz val="10"/>
      <color rgb="FF0000FF"/>
      <name val="Times New Roman"/>
      <family val="1"/>
    </font>
    <font>
      <sz val="11"/>
      <color theme="1"/>
      <name val="Calibri"/>
      <family val="2"/>
      <scheme val="minor"/>
    </font>
    <font>
      <sz val="10"/>
      <name val="Arial"/>
      <family val="2"/>
    </font>
    <font>
      <sz val="11"/>
      <name val="Aptos"/>
      <family val="2"/>
    </font>
    <font>
      <sz val="11"/>
      <color rgb="FFFF0000"/>
      <name val="Calibri"/>
      <family val="2"/>
      <scheme val="minor"/>
    </font>
    <font>
      <b/>
      <sz val="11"/>
      <color rgb="FFFF0000"/>
      <name val="Times New Roman"/>
      <family val="1"/>
    </font>
    <font>
      <b/>
      <strike/>
      <vertAlign val="superscript"/>
      <sz val="12"/>
      <color rgb="FFFF0000"/>
      <name val="Times New Roman"/>
      <family val="1"/>
    </font>
    <font>
      <b/>
      <sz val="14"/>
      <color rgb="FFFF0000"/>
      <name val="Times New Roman"/>
      <family val="1"/>
    </font>
    <font>
      <b/>
      <sz val="11"/>
      <color rgb="FFFF0000"/>
      <name val="Calibri"/>
      <family val="2"/>
      <scheme val="minor"/>
    </font>
    <font>
      <b/>
      <sz val="11"/>
      <name val="Times New Roman"/>
      <family val="1"/>
    </font>
    <font>
      <b/>
      <u/>
      <sz val="11"/>
      <name val="Times New Roman"/>
      <family val="1"/>
    </font>
    <font>
      <sz val="12"/>
      <name val="Calibri"/>
      <family val="2"/>
    </font>
    <font>
      <b/>
      <vertAlign val="superscript"/>
      <sz val="10"/>
      <name val="Times New Roman"/>
      <family val="1"/>
    </font>
    <font>
      <vertAlign val="superscript"/>
      <sz val="8.4"/>
      <name val="Times New Roman"/>
      <family val="1"/>
    </font>
    <font>
      <vertAlign val="superscript"/>
      <sz val="10"/>
      <name val="Times New Roman"/>
      <family val="1"/>
    </font>
    <font>
      <b/>
      <sz val="11"/>
      <color rgb="FF7030A0"/>
      <name val="Calibri"/>
      <family val="2"/>
      <scheme val="minor"/>
    </font>
    <font>
      <u/>
      <vertAlign val="superscript"/>
      <sz val="12"/>
      <name val="Times New Roman"/>
      <family val="1"/>
    </font>
    <font>
      <sz val="12"/>
      <color rgb="FF7030A0"/>
      <name val="Times New Roman"/>
      <family val="1"/>
    </font>
    <font>
      <sz val="11"/>
      <color rgb="FF7030A0"/>
      <name val="Calibri"/>
      <family val="2"/>
      <scheme val="minor"/>
    </font>
    <font>
      <vertAlign val="subscript"/>
      <sz val="12"/>
      <color theme="1"/>
      <name val="Times New Roman"/>
      <family val="1"/>
    </font>
    <font>
      <b/>
      <sz val="11"/>
      <color theme="1"/>
      <name val="Times New Roman"/>
      <family val="1"/>
    </font>
    <font>
      <vertAlign val="subscript"/>
      <sz val="9.6"/>
      <name val="Times New Roman"/>
      <family val="1"/>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CCFFCC"/>
        <bgColor indexed="64"/>
      </patternFill>
    </fill>
  </fills>
  <borders count="83">
    <border>
      <left/>
      <right/>
      <top/>
      <bottom/>
      <diagonal/>
    </border>
    <border>
      <left/>
      <right/>
      <top/>
      <bottom style="double">
        <color auto="1"/>
      </bottom>
      <diagonal/>
    </border>
    <border>
      <left style="thin">
        <color auto="1"/>
      </left>
      <right/>
      <top style="thin">
        <color auto="1"/>
      </top>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diagonal/>
    </border>
    <border>
      <left style="thin">
        <color auto="1"/>
      </left>
      <right style="thin">
        <color auto="1"/>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thin">
        <color auto="1"/>
      </right>
      <top/>
      <bottom style="medium">
        <color auto="1"/>
      </bottom>
      <diagonal/>
    </border>
    <border>
      <left/>
      <right style="thin">
        <color auto="1"/>
      </right>
      <top/>
      <bottom style="double">
        <color auto="1"/>
      </bottom>
      <diagonal/>
    </border>
    <border>
      <left/>
      <right/>
      <top style="thin">
        <color auto="1"/>
      </top>
      <bottom style="double">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style="thin">
        <color auto="1"/>
      </right>
      <top style="double">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double">
        <color auto="1"/>
      </top>
      <bottom style="medium">
        <color auto="1"/>
      </bottom>
      <diagonal/>
    </border>
    <border>
      <left style="medium">
        <color auto="1"/>
      </left>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thin">
        <color auto="1"/>
      </right>
      <top style="medium">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double">
        <color indexed="64"/>
      </bottom>
      <diagonal/>
    </border>
    <border>
      <left style="medium">
        <color indexed="64"/>
      </left>
      <right style="medium">
        <color auto="1"/>
      </right>
      <top style="thin">
        <color indexed="64"/>
      </top>
      <bottom style="medium">
        <color auto="1"/>
      </bottom>
      <diagonal/>
    </border>
    <border>
      <left style="medium">
        <color indexed="64"/>
      </left>
      <right style="medium">
        <color indexed="64"/>
      </right>
      <top style="double">
        <color indexed="64"/>
      </top>
      <bottom style="medium">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medium">
        <color auto="1"/>
      </right>
      <top/>
      <bottom style="medium">
        <color indexed="64"/>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double">
        <color auto="1"/>
      </bottom>
      <diagonal/>
    </border>
    <border>
      <left style="medium">
        <color auto="1"/>
      </left>
      <right style="medium">
        <color auto="1"/>
      </right>
      <top style="medium">
        <color auto="1"/>
      </top>
      <bottom style="double">
        <color auto="1"/>
      </bottom>
      <diagonal/>
    </border>
    <border>
      <left/>
      <right style="medium">
        <color auto="1"/>
      </right>
      <top style="medium">
        <color auto="1"/>
      </top>
      <bottom style="double">
        <color auto="1"/>
      </bottom>
      <diagonal/>
    </border>
    <border>
      <left style="medium">
        <color auto="1"/>
      </left>
      <right style="thin">
        <color auto="1"/>
      </right>
      <top style="medium">
        <color indexed="64"/>
      </top>
      <bottom style="double">
        <color auto="1"/>
      </bottom>
      <diagonal/>
    </border>
    <border>
      <left style="thin">
        <color auto="1"/>
      </left>
      <right style="thin">
        <color auto="1"/>
      </right>
      <top style="medium">
        <color indexed="64"/>
      </top>
      <bottom style="double">
        <color auto="1"/>
      </bottom>
      <diagonal/>
    </border>
    <border>
      <left/>
      <right style="medium">
        <color auto="1"/>
      </right>
      <top/>
      <bottom style="double">
        <color auto="1"/>
      </bottom>
      <diagonal/>
    </border>
    <border>
      <left style="medium">
        <color auto="1"/>
      </left>
      <right style="thin">
        <color auto="1"/>
      </right>
      <top/>
      <bottom style="double">
        <color auto="1"/>
      </bottom>
      <diagonal/>
    </border>
    <border>
      <left style="medium">
        <color auto="1"/>
      </left>
      <right style="medium">
        <color auto="1"/>
      </right>
      <top/>
      <bottom style="medium">
        <color auto="1"/>
      </bottom>
      <diagonal/>
    </border>
    <border>
      <left style="medium">
        <color indexed="64"/>
      </left>
      <right style="thin">
        <color auto="1"/>
      </right>
      <top/>
      <bottom style="medium">
        <color indexed="64"/>
      </bottom>
      <diagonal/>
    </border>
    <border>
      <left style="medium">
        <color indexed="64"/>
      </left>
      <right style="thin">
        <color auto="1"/>
      </right>
      <top/>
      <bottom style="thin">
        <color auto="1"/>
      </bottom>
      <diagonal/>
    </border>
    <border>
      <left/>
      <right style="medium">
        <color indexed="64"/>
      </right>
      <top/>
      <bottom style="thin">
        <color indexed="64"/>
      </bottom>
      <diagonal/>
    </border>
    <border>
      <left style="medium">
        <color indexed="64"/>
      </left>
      <right/>
      <top/>
      <bottom style="medium">
        <color indexed="64"/>
      </bottom>
      <diagonal/>
    </border>
    <border>
      <left style="thin">
        <color auto="1"/>
      </left>
      <right style="medium">
        <color indexed="64"/>
      </right>
      <top/>
      <bottom style="thin">
        <color auto="1"/>
      </bottom>
      <diagonal/>
    </border>
    <border>
      <left style="thin">
        <color auto="1"/>
      </left>
      <right style="medium">
        <color indexed="64"/>
      </right>
      <top style="double">
        <color auto="1"/>
      </top>
      <bottom style="medium">
        <color indexed="64"/>
      </bottom>
      <diagonal/>
    </border>
    <border>
      <left style="thin">
        <color auto="1"/>
      </left>
      <right style="medium">
        <color indexed="64"/>
      </right>
      <top/>
      <bottom style="double">
        <color auto="1"/>
      </bottom>
      <diagonal/>
    </border>
    <border>
      <left/>
      <right style="medium">
        <color indexed="64"/>
      </right>
      <top/>
      <bottom style="medium">
        <color indexed="64"/>
      </bottom>
      <diagonal/>
    </border>
    <border>
      <left style="thin">
        <color auto="1"/>
      </left>
      <right/>
      <top style="thin">
        <color auto="1"/>
      </top>
      <bottom style="medium">
        <color auto="1"/>
      </bottom>
      <diagonal/>
    </border>
    <border>
      <left style="thin">
        <color auto="1"/>
      </left>
      <right/>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diagonal/>
    </border>
    <border>
      <left/>
      <right/>
      <top style="medium">
        <color indexed="64"/>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double">
        <color indexed="64"/>
      </top>
      <bottom/>
      <diagonal/>
    </border>
    <border>
      <left/>
      <right/>
      <top style="double">
        <color auto="1"/>
      </top>
      <bottom style="double">
        <color indexed="64"/>
      </bottom>
      <diagonal/>
    </border>
  </borders>
  <cellStyleXfs count="10">
    <xf numFmtId="0" fontId="0" fillId="0" borderId="0"/>
    <xf numFmtId="44" fontId="58" fillId="0" borderId="0" applyFont="0" applyFill="0" applyBorder="0" applyAlignment="0" applyProtection="0"/>
    <xf numFmtId="9" fontId="58" fillId="0" borderId="0" applyFont="0" applyFill="0" applyBorder="0" applyAlignment="0" applyProtection="0"/>
    <xf numFmtId="0" fontId="59" fillId="0" borderId="0"/>
    <xf numFmtId="43" fontId="59" fillId="0" borderId="0" applyFont="0" applyFill="0" applyBorder="0" applyAlignment="0" applyProtection="0"/>
    <xf numFmtId="43" fontId="58" fillId="0" borderId="0" applyFont="0" applyFill="0" applyBorder="0" applyAlignment="0" applyProtection="0"/>
    <xf numFmtId="0" fontId="59" fillId="0" borderId="0"/>
    <xf numFmtId="9" fontId="59" fillId="0" borderId="0" applyFont="0" applyFill="0" applyBorder="0" applyAlignment="0" applyProtection="0"/>
    <xf numFmtId="0" fontId="58" fillId="0" borderId="0"/>
    <xf numFmtId="0" fontId="59" fillId="0" borderId="0"/>
  </cellStyleXfs>
  <cellXfs count="1364">
    <xf numFmtId="0" fontId="0" fillId="0" borderId="0" xfId="0"/>
    <xf numFmtId="0" fontId="3" fillId="0" borderId="0" xfId="0" applyFont="1" applyAlignment="1">
      <alignment vertical="center"/>
    </xf>
    <xf numFmtId="43" fontId="2" fillId="0" borderId="0" xfId="0" applyNumberFormat="1" applyFont="1" applyAlignment="1">
      <alignment vertical="center"/>
    </xf>
    <xf numFmtId="43" fontId="3" fillId="0" borderId="0" xfId="0" applyNumberFormat="1" applyFont="1" applyAlignment="1">
      <alignment vertical="center"/>
    </xf>
    <xf numFmtId="0" fontId="2" fillId="0" borderId="0" xfId="0" applyFont="1" applyAlignment="1">
      <alignment horizontal="center" vertical="center"/>
    </xf>
    <xf numFmtId="0" fontId="16" fillId="0" borderId="0" xfId="0" applyFont="1" applyAlignment="1">
      <alignment vertical="center"/>
    </xf>
    <xf numFmtId="166" fontId="2" fillId="0" borderId="0" xfId="0" applyNumberFormat="1" applyFont="1" applyAlignment="1">
      <alignment vertical="center"/>
    </xf>
    <xf numFmtId="165" fontId="2" fillId="2" borderId="0" xfId="0" applyNumberFormat="1" applyFont="1" applyFill="1" applyAlignment="1">
      <alignment horizontal="right" vertical="center"/>
    </xf>
    <xf numFmtId="166" fontId="2" fillId="0" borderId="0" xfId="0" applyNumberFormat="1" applyFont="1" applyAlignment="1">
      <alignment horizontal="right" vertical="center"/>
    </xf>
    <xf numFmtId="166" fontId="2" fillId="2" borderId="0" xfId="0" applyNumberFormat="1" applyFont="1" applyFill="1" applyAlignment="1">
      <alignment horizontal="right" vertical="center"/>
    </xf>
    <xf numFmtId="165" fontId="2" fillId="0" borderId="0" xfId="0" applyNumberFormat="1" applyFont="1" applyAlignment="1">
      <alignment horizontal="right" vertical="center"/>
    </xf>
    <xf numFmtId="166" fontId="2" fillId="0" borderId="0" xfId="0" applyNumberFormat="1" applyFont="1" applyAlignment="1">
      <alignment horizontal="center" vertical="center"/>
    </xf>
    <xf numFmtId="166" fontId="2" fillId="2" borderId="0" xfId="0" applyNumberFormat="1" applyFont="1" applyFill="1" applyAlignment="1">
      <alignment vertical="center"/>
    </xf>
    <xf numFmtId="6" fontId="2" fillId="0" borderId="0" xfId="0" applyNumberFormat="1" applyFont="1" applyAlignment="1">
      <alignment horizontal="right" vertical="center"/>
    </xf>
    <xf numFmtId="165" fontId="2" fillId="0" borderId="1" xfId="0" quotePrefix="1" applyNumberFormat="1" applyFont="1" applyBorder="1" applyAlignment="1">
      <alignment horizontal="right" vertical="center"/>
    </xf>
    <xf numFmtId="165" fontId="2" fillId="0" borderId="0" xfId="0" quotePrefix="1" applyNumberFormat="1" applyFont="1" applyAlignment="1">
      <alignment horizontal="right" vertical="center"/>
    </xf>
    <xf numFmtId="165" fontId="2" fillId="2" borderId="0" xfId="0" quotePrefix="1" applyNumberFormat="1" applyFont="1" applyFill="1" applyAlignment="1">
      <alignment horizontal="right" vertical="center"/>
    </xf>
    <xf numFmtId="165" fontId="2" fillId="0" borderId="16" xfId="0" applyNumberFormat="1" applyFont="1" applyBorder="1" applyAlignment="1">
      <alignment horizontal="right" vertical="center"/>
    </xf>
    <xf numFmtId="43" fontId="2" fillId="0" borderId="0" xfId="0" applyNumberFormat="1" applyFont="1" applyAlignment="1">
      <alignment horizontal="right" vertical="center"/>
    </xf>
    <xf numFmtId="165" fontId="3" fillId="0" borderId="0" xfId="0" quotePrefix="1" applyNumberFormat="1" applyFont="1" applyAlignment="1">
      <alignment horizontal="right" vertical="center"/>
    </xf>
    <xf numFmtId="165" fontId="2" fillId="2" borderId="0" xfId="0" applyNumberFormat="1" applyFont="1" applyFill="1" applyAlignment="1" applyProtection="1">
      <alignment horizontal="right" vertical="center"/>
      <protection locked="0"/>
    </xf>
    <xf numFmtId="166" fontId="2" fillId="2" borderId="0" xfId="0" applyNumberFormat="1" applyFont="1" applyFill="1" applyAlignment="1" applyProtection="1">
      <alignment horizontal="right" vertical="center"/>
      <protection locked="0"/>
    </xf>
    <xf numFmtId="165" fontId="2" fillId="2" borderId="0" xfId="0" applyNumberFormat="1" applyFont="1" applyFill="1" applyAlignment="1">
      <alignment horizontal="center" vertical="center"/>
    </xf>
    <xf numFmtId="166" fontId="2" fillId="2" borderId="0" xfId="0" applyNumberFormat="1" applyFont="1" applyFill="1" applyAlignment="1">
      <alignment horizontal="center" vertical="center"/>
    </xf>
    <xf numFmtId="165" fontId="2" fillId="0" borderId="1" xfId="0" applyNumberFormat="1" applyFont="1" applyBorder="1" applyAlignment="1">
      <alignment horizontal="right" vertical="center"/>
    </xf>
    <xf numFmtId="174" fontId="2" fillId="0" borderId="0" xfId="0" applyNumberFormat="1" applyFont="1" applyAlignment="1">
      <alignment horizontal="center" vertical="center"/>
    </xf>
    <xf numFmtId="167" fontId="2" fillId="0" borderId="0" xfId="0" applyNumberFormat="1" applyFont="1" applyAlignment="1">
      <alignment horizontal="right" vertical="center"/>
    </xf>
    <xf numFmtId="10" fontId="2" fillId="0" borderId="0" xfId="0" applyNumberFormat="1" applyFont="1" applyAlignment="1">
      <alignment horizontal="right" vertical="center"/>
    </xf>
    <xf numFmtId="165" fontId="2" fillId="2" borderId="0" xfId="0" applyNumberFormat="1" applyFont="1" applyFill="1" applyAlignment="1">
      <alignment vertical="center"/>
    </xf>
    <xf numFmtId="0" fontId="2" fillId="0" borderId="0" xfId="0" applyFont="1" applyAlignment="1">
      <alignment horizontal="right" vertical="center"/>
    </xf>
    <xf numFmtId="167" fontId="2" fillId="3" borderId="0" xfId="0" applyNumberFormat="1" applyFont="1" applyFill="1" applyAlignment="1">
      <alignment vertical="center"/>
    </xf>
    <xf numFmtId="0" fontId="2" fillId="0" borderId="0" xfId="0" applyFont="1" applyAlignment="1">
      <alignment vertical="center"/>
    </xf>
    <xf numFmtId="0" fontId="2" fillId="0" borderId="0" xfId="0" applyFont="1" applyAlignment="1">
      <alignment horizontal="left" vertical="center"/>
    </xf>
    <xf numFmtId="0" fontId="8" fillId="0" borderId="0" xfId="0" applyFont="1" applyAlignment="1">
      <alignment vertical="center"/>
    </xf>
    <xf numFmtId="0" fontId="2" fillId="0" borderId="0" xfId="0" quotePrefix="1" applyFont="1" applyAlignment="1">
      <alignment horizontal="center" vertical="center"/>
    </xf>
    <xf numFmtId="165" fontId="2" fillId="0" borderId="0" xfId="0" applyNumberFormat="1" applyFont="1" applyAlignment="1">
      <alignment vertical="center"/>
    </xf>
    <xf numFmtId="0" fontId="0" fillId="0" borderId="0" xfId="0" applyAlignment="1">
      <alignment vertical="center"/>
    </xf>
    <xf numFmtId="165" fontId="2" fillId="0" borderId="1" xfId="0" applyNumberFormat="1" applyFont="1" applyBorder="1" applyAlignment="1">
      <alignment vertical="center"/>
    </xf>
    <xf numFmtId="166" fontId="2" fillId="0" borderId="0" xfId="0" applyNumberFormat="1" applyFont="1" applyAlignment="1" applyProtection="1">
      <alignment vertical="center"/>
      <protection locked="0"/>
    </xf>
    <xf numFmtId="166" fontId="2" fillId="0" borderId="0" xfId="0" applyNumberFormat="1" applyFont="1" applyAlignment="1" applyProtection="1">
      <alignment horizontal="center" vertical="center"/>
      <protection locked="0"/>
    </xf>
    <xf numFmtId="165" fontId="2" fillId="3" borderId="0" xfId="0" applyNumberFormat="1" applyFont="1" applyFill="1" applyAlignment="1" applyProtection="1">
      <alignment vertical="center"/>
      <protection locked="0"/>
    </xf>
    <xf numFmtId="5" fontId="2" fillId="0" borderId="0" xfId="0" applyNumberFormat="1" applyFont="1" applyAlignment="1" applyProtection="1">
      <alignment horizontal="center" vertical="center"/>
      <protection locked="0"/>
    </xf>
    <xf numFmtId="166" fontId="2" fillId="3" borderId="0" xfId="0" applyNumberFormat="1" applyFont="1" applyFill="1" applyAlignment="1" applyProtection="1">
      <alignment vertical="center"/>
      <protection locked="0"/>
    </xf>
    <xf numFmtId="165" fontId="3" fillId="0" borderId="0" xfId="0" applyNumberFormat="1" applyFont="1" applyAlignment="1">
      <alignment vertical="center"/>
    </xf>
    <xf numFmtId="165" fontId="2" fillId="0" borderId="0" xfId="0" applyNumberFormat="1" applyFont="1" applyAlignment="1">
      <alignment horizontal="center" vertical="center"/>
    </xf>
    <xf numFmtId="5" fontId="2" fillId="0" borderId="0" xfId="0" applyNumberFormat="1" applyFont="1" applyAlignment="1">
      <alignment vertical="center"/>
    </xf>
    <xf numFmtId="5" fontId="2" fillId="0" borderId="0" xfId="0" applyNumberFormat="1" applyFont="1" applyAlignment="1">
      <alignment horizontal="center" vertical="center"/>
    </xf>
    <xf numFmtId="10" fontId="2" fillId="0" borderId="0" xfId="0" applyNumberFormat="1" applyFont="1" applyAlignment="1">
      <alignment vertical="center"/>
    </xf>
    <xf numFmtId="165" fontId="2" fillId="0" borderId="0" xfId="0" applyNumberFormat="1" applyFont="1" applyAlignment="1" applyProtection="1">
      <alignment vertical="center"/>
      <protection locked="0"/>
    </xf>
    <xf numFmtId="5" fontId="2" fillId="0" borderId="0" xfId="0" applyNumberFormat="1" applyFont="1" applyAlignment="1">
      <alignment horizontal="right" vertical="center"/>
    </xf>
    <xf numFmtId="10" fontId="2" fillId="0" borderId="0" xfId="0" applyNumberFormat="1" applyFont="1" applyAlignment="1">
      <alignment horizontal="center" vertical="center"/>
    </xf>
    <xf numFmtId="10" fontId="2" fillId="0" borderId="1" xfId="0" applyNumberFormat="1" applyFont="1" applyBorder="1" applyAlignment="1">
      <alignment horizontal="right" vertical="center"/>
    </xf>
    <xf numFmtId="166" fontId="2" fillId="0" borderId="5" xfId="0" applyNumberFormat="1" applyFont="1" applyBorder="1" applyAlignment="1">
      <alignment vertical="center"/>
    </xf>
    <xf numFmtId="166" fontId="2" fillId="0" borderId="53" xfId="0" applyNumberFormat="1" applyFont="1" applyBorder="1" applyAlignment="1">
      <alignment vertical="center"/>
    </xf>
    <xf numFmtId="0" fontId="3" fillId="0" borderId="4" xfId="0" applyFont="1" applyBorder="1" applyAlignment="1">
      <alignment vertical="center"/>
    </xf>
    <xf numFmtId="165" fontId="3" fillId="0" borderId="5" xfId="0" applyNumberFormat="1" applyFont="1" applyBorder="1" applyAlignment="1">
      <alignment vertical="center"/>
    </xf>
    <xf numFmtId="165" fontId="3" fillId="0" borderId="53" xfId="0" applyNumberFormat="1" applyFont="1" applyBorder="1" applyAlignment="1">
      <alignment vertical="center"/>
    </xf>
    <xf numFmtId="0" fontId="3" fillId="0" borderId="5" xfId="0" applyFont="1" applyBorder="1" applyAlignment="1">
      <alignment vertical="center"/>
    </xf>
    <xf numFmtId="165" fontId="2" fillId="0" borderId="5" xfId="0" applyNumberFormat="1" applyFont="1" applyBorder="1" applyAlignment="1">
      <alignment vertical="center"/>
    </xf>
    <xf numFmtId="166" fontId="3" fillId="0" borderId="4" xfId="0" applyNumberFormat="1" applyFont="1" applyBorder="1" applyAlignment="1">
      <alignment vertical="center"/>
    </xf>
    <xf numFmtId="166" fontId="3" fillId="0" borderId="5" xfId="0" applyNumberFormat="1" applyFont="1" applyBorder="1" applyAlignment="1">
      <alignment vertical="center"/>
    </xf>
    <xf numFmtId="166" fontId="3" fillId="0" borderId="53" xfId="0" applyNumberFormat="1" applyFont="1" applyBorder="1" applyAlignment="1">
      <alignment vertical="center"/>
    </xf>
    <xf numFmtId="0" fontId="2" fillId="0" borderId="5" xfId="0" applyFont="1" applyBorder="1" applyAlignment="1">
      <alignment vertical="center"/>
    </xf>
    <xf numFmtId="165" fontId="3" fillId="0" borderId="6" xfId="0" applyNumberFormat="1" applyFont="1" applyBorder="1" applyAlignment="1">
      <alignment horizontal="center" vertical="center"/>
    </xf>
    <xf numFmtId="165" fontId="2" fillId="0" borderId="5" xfId="0" applyNumberFormat="1" applyFont="1" applyBorder="1" applyAlignment="1">
      <alignment horizontal="center" vertical="center"/>
    </xf>
    <xf numFmtId="166" fontId="2" fillId="0" borderId="5" xfId="0" applyNumberFormat="1" applyFont="1" applyBorder="1" applyAlignment="1">
      <alignment horizontal="center" vertical="center"/>
    </xf>
    <xf numFmtId="3" fontId="3" fillId="0" borderId="51" xfId="0" applyNumberFormat="1" applyFont="1" applyBorder="1" applyAlignment="1">
      <alignment vertical="center"/>
    </xf>
    <xf numFmtId="165" fontId="3" fillId="0" borderId="51" xfId="0" applyNumberFormat="1" applyFont="1" applyBorder="1" applyAlignment="1">
      <alignment vertical="center"/>
    </xf>
    <xf numFmtId="166" fontId="2" fillId="0" borderId="51" xfId="0" applyNumberFormat="1" applyFont="1" applyBorder="1" applyAlignment="1">
      <alignment horizontal="center" vertical="center"/>
    </xf>
    <xf numFmtId="165" fontId="2" fillId="0" borderId="0" xfId="0" applyNumberFormat="1" applyFont="1" applyAlignment="1" applyProtection="1">
      <alignment horizontal="center" vertical="center"/>
      <protection locked="0"/>
    </xf>
    <xf numFmtId="5" fontId="2" fillId="0" borderId="0" xfId="0" applyNumberFormat="1" applyFont="1" applyAlignment="1" applyProtection="1">
      <alignment vertical="center"/>
      <protection locked="0"/>
    </xf>
    <xf numFmtId="5" fontId="3" fillId="0" borderId="0" xfId="0" applyNumberFormat="1" applyFont="1" applyAlignment="1" applyProtection="1">
      <alignment horizontal="center" vertical="center"/>
      <protection locked="0"/>
    </xf>
    <xf numFmtId="10" fontId="2" fillId="0" borderId="0" xfId="0" applyNumberFormat="1" applyFont="1" applyAlignment="1" applyProtection="1">
      <alignment vertical="center"/>
      <protection locked="0"/>
    </xf>
    <xf numFmtId="10" fontId="2" fillId="0" borderId="0" xfId="0" applyNumberFormat="1" applyFont="1" applyAlignment="1" applyProtection="1">
      <alignment horizontal="center" vertical="center"/>
      <protection locked="0"/>
    </xf>
    <xf numFmtId="5" fontId="2" fillId="0" borderId="0" xfId="0" applyNumberFormat="1" applyFont="1" applyAlignment="1" applyProtection="1">
      <alignment horizontal="right" vertical="center"/>
      <protection locked="0"/>
    </xf>
    <xf numFmtId="165" fontId="2" fillId="0" borderId="0" xfId="0" applyNumberFormat="1" applyFont="1" applyAlignment="1" applyProtection="1">
      <alignment horizontal="right" vertical="center"/>
      <protection locked="0"/>
    </xf>
    <xf numFmtId="166" fontId="2" fillId="0" borderId="0" xfId="0" applyNumberFormat="1" applyFont="1" applyAlignment="1" applyProtection="1">
      <alignment horizontal="right" vertical="center"/>
      <protection locked="0"/>
    </xf>
    <xf numFmtId="165" fontId="2" fillId="0" borderId="1" xfId="0" applyNumberFormat="1" applyFont="1" applyBorder="1" applyAlignment="1" applyProtection="1">
      <alignment horizontal="right" vertical="center"/>
      <protection locked="0"/>
    </xf>
    <xf numFmtId="165" fontId="2" fillId="3" borderId="1" xfId="0" applyNumberFormat="1" applyFont="1" applyFill="1" applyBorder="1" applyAlignment="1" applyProtection="1">
      <alignment vertical="center"/>
      <protection locked="0"/>
    </xf>
    <xf numFmtId="37" fontId="3" fillId="0" borderId="5" xfId="0" applyNumberFormat="1" applyFont="1" applyBorder="1" applyAlignment="1">
      <alignment vertical="center"/>
    </xf>
    <xf numFmtId="171" fontId="2" fillId="0" borderId="5" xfId="0" applyNumberFormat="1" applyFont="1" applyBorder="1" applyAlignment="1">
      <alignment vertical="center"/>
    </xf>
    <xf numFmtId="3" fontId="2" fillId="0" borderId="51" xfId="0" applyNumberFormat="1" applyFont="1" applyBorder="1" applyAlignment="1">
      <alignment vertical="center"/>
    </xf>
    <xf numFmtId="165" fontId="2" fillId="3" borderId="0" xfId="0" applyNumberFormat="1" applyFont="1" applyFill="1" applyAlignment="1">
      <alignment vertical="center"/>
    </xf>
    <xf numFmtId="41" fontId="2" fillId="3" borderId="0" xfId="0" applyNumberFormat="1" applyFont="1" applyFill="1" applyAlignment="1">
      <alignment vertical="center"/>
    </xf>
    <xf numFmtId="41" fontId="2" fillId="0" borderId="0" xfId="0" applyNumberFormat="1" applyFont="1" applyAlignment="1">
      <alignment vertical="center"/>
    </xf>
    <xf numFmtId="165" fontId="6" fillId="0" borderId="0" xfId="0" applyNumberFormat="1" applyFont="1" applyAlignment="1">
      <alignment horizontal="center" vertical="center"/>
    </xf>
    <xf numFmtId="166" fontId="3" fillId="0" borderId="0" xfId="0" applyNumberFormat="1" applyFont="1" applyAlignment="1">
      <alignment vertical="center"/>
    </xf>
    <xf numFmtId="188" fontId="2" fillId="0" borderId="0" xfId="0" applyNumberFormat="1" applyFont="1" applyAlignment="1">
      <alignment vertical="center"/>
    </xf>
    <xf numFmtId="165" fontId="3" fillId="0" borderId="16" xfId="0" applyNumberFormat="1" applyFont="1" applyBorder="1" applyAlignment="1">
      <alignment vertical="center"/>
    </xf>
    <xf numFmtId="14" fontId="2" fillId="0" borderId="0" xfId="0" applyNumberFormat="1" applyFont="1" applyAlignment="1">
      <alignment horizontal="center" vertical="center"/>
    </xf>
    <xf numFmtId="0" fontId="2" fillId="0" borderId="0" xfId="0" applyFont="1" applyAlignment="1">
      <alignment horizontal="center" vertical="center" wrapText="1"/>
    </xf>
    <xf numFmtId="165" fontId="2" fillId="3" borderId="1" xfId="0" applyNumberFormat="1" applyFont="1" applyFill="1" applyBorder="1" applyAlignment="1">
      <alignment vertical="center"/>
    </xf>
    <xf numFmtId="166" fontId="3" fillId="0" borderId="51" xfId="0" applyNumberFormat="1" applyFont="1" applyBorder="1" applyAlignment="1">
      <alignment vertical="center"/>
    </xf>
    <xf numFmtId="166" fontId="2" fillId="0" borderId="51" xfId="0" applyNumberFormat="1" applyFont="1" applyBorder="1" applyAlignment="1">
      <alignment vertical="center"/>
    </xf>
    <xf numFmtId="166" fontId="2" fillId="4" borderId="0" xfId="0" applyNumberFormat="1" applyFont="1" applyFill="1" applyAlignment="1">
      <alignment horizontal="right" vertical="center"/>
    </xf>
    <xf numFmtId="165" fontId="2" fillId="0" borderId="16" xfId="0" applyNumberFormat="1" applyFont="1" applyBorder="1" applyAlignment="1">
      <alignment vertical="center"/>
    </xf>
    <xf numFmtId="165" fontId="2" fillId="0" borderId="49" xfId="0" applyNumberFormat="1" applyFont="1" applyBorder="1" applyAlignment="1">
      <alignment vertical="center"/>
    </xf>
    <xf numFmtId="173" fontId="2" fillId="0" borderId="0" xfId="0" applyNumberFormat="1" applyFont="1" applyAlignment="1">
      <alignment vertical="center"/>
    </xf>
    <xf numFmtId="165" fontId="3" fillId="0" borderId="55" xfId="0" applyNumberFormat="1" applyFont="1" applyBorder="1" applyAlignment="1">
      <alignment vertical="center"/>
    </xf>
    <xf numFmtId="173" fontId="2" fillId="0" borderId="49" xfId="0" applyNumberFormat="1" applyFont="1" applyBorder="1" applyAlignment="1">
      <alignment vertical="center"/>
    </xf>
    <xf numFmtId="173" fontId="3" fillId="0" borderId="0" xfId="0" applyNumberFormat="1" applyFont="1" applyAlignment="1">
      <alignment vertical="center"/>
    </xf>
    <xf numFmtId="165" fontId="3" fillId="0" borderId="1" xfId="0" applyNumberFormat="1" applyFont="1" applyBorder="1" applyAlignment="1">
      <alignment vertical="center"/>
    </xf>
    <xf numFmtId="165" fontId="3" fillId="0" borderId="15" xfId="0" applyNumberFormat="1" applyFont="1" applyBorder="1" applyAlignment="1">
      <alignment vertical="center"/>
    </xf>
    <xf numFmtId="37" fontId="2" fillId="0" borderId="49" xfId="0" applyNumberFormat="1" applyFont="1" applyBorder="1" applyAlignment="1">
      <alignment vertical="center"/>
    </xf>
    <xf numFmtId="0" fontId="3" fillId="0" borderId="22" xfId="0" applyFont="1" applyBorder="1" applyAlignment="1">
      <alignment horizontal="center" vertical="center"/>
    </xf>
    <xf numFmtId="37" fontId="2" fillId="0" borderId="0" xfId="0" applyNumberFormat="1" applyFont="1" applyAlignment="1">
      <alignment vertical="center"/>
    </xf>
    <xf numFmtId="37" fontId="2" fillId="0" borderId="0" xfId="0" applyNumberFormat="1" applyFont="1" applyAlignment="1">
      <alignment horizontal="center" vertical="center"/>
    </xf>
    <xf numFmtId="0" fontId="4" fillId="0" borderId="0" xfId="0" applyFont="1" applyAlignment="1">
      <alignment horizontal="left" vertical="center"/>
    </xf>
    <xf numFmtId="10" fontId="2" fillId="0" borderId="1" xfId="0" applyNumberFormat="1" applyFont="1" applyBorder="1" applyAlignment="1" applyProtection="1">
      <alignment horizontal="right" vertical="center"/>
      <protection locked="0"/>
    </xf>
    <xf numFmtId="165" fontId="2" fillId="3" borderId="0" xfId="0" applyNumberFormat="1" applyFont="1" applyFill="1" applyAlignment="1">
      <alignment horizontal="center" vertical="center"/>
    </xf>
    <xf numFmtId="166" fontId="3" fillId="0" borderId="0" xfId="0" applyNumberFormat="1" applyFont="1" applyAlignment="1" applyProtection="1">
      <alignment vertical="center"/>
      <protection locked="0"/>
    </xf>
    <xf numFmtId="166" fontId="2" fillId="3" borderId="0" xfId="0" applyNumberFormat="1" applyFont="1" applyFill="1" applyAlignment="1">
      <alignment vertical="center"/>
    </xf>
    <xf numFmtId="10" fontId="2" fillId="0" borderId="0" xfId="0" applyNumberFormat="1" applyFont="1" applyAlignment="1" applyProtection="1">
      <alignment horizontal="right" vertical="center"/>
      <protection locked="0"/>
    </xf>
    <xf numFmtId="165" fontId="3" fillId="0" borderId="0" xfId="0" applyNumberFormat="1" applyFont="1" applyAlignment="1" applyProtection="1">
      <alignment vertical="center"/>
      <protection locked="0"/>
    </xf>
    <xf numFmtId="0" fontId="2" fillId="0" borderId="53" xfId="0" applyFont="1" applyBorder="1" applyAlignment="1">
      <alignment vertical="center"/>
    </xf>
    <xf numFmtId="166" fontId="16" fillId="0" borderId="0" xfId="0" applyNumberFormat="1" applyFont="1" applyAlignment="1">
      <alignment vertical="center"/>
    </xf>
    <xf numFmtId="0" fontId="3" fillId="0" borderId="51" xfId="0" applyFont="1" applyBorder="1" applyAlignment="1">
      <alignment vertical="center"/>
    </xf>
    <xf numFmtId="165" fontId="2" fillId="2" borderId="0" xfId="0" applyNumberFormat="1" applyFont="1" applyFill="1" applyAlignment="1" applyProtection="1">
      <alignment vertical="center"/>
      <protection locked="0"/>
    </xf>
    <xf numFmtId="165" fontId="2" fillId="0" borderId="1" xfId="0" applyNumberFormat="1" applyFont="1" applyBorder="1" applyAlignment="1" applyProtection="1">
      <alignment vertical="center"/>
      <protection locked="0"/>
    </xf>
    <xf numFmtId="165" fontId="2" fillId="0" borderId="3" xfId="0" applyNumberFormat="1" applyFont="1" applyBorder="1" applyAlignment="1">
      <alignment vertical="center"/>
    </xf>
    <xf numFmtId="166" fontId="2" fillId="0" borderId="67" xfId="0" applyNumberFormat="1" applyFont="1" applyBorder="1" applyAlignment="1">
      <alignment vertical="center"/>
    </xf>
    <xf numFmtId="166" fontId="3" fillId="0" borderId="65" xfId="0" applyNumberFormat="1" applyFont="1" applyBorder="1" applyAlignment="1">
      <alignment vertical="center"/>
    </xf>
    <xf numFmtId="166" fontId="2" fillId="0" borderId="20" xfId="0" applyNumberFormat="1" applyFont="1" applyBorder="1" applyAlignment="1">
      <alignment vertical="center"/>
    </xf>
    <xf numFmtId="166" fontId="2" fillId="0" borderId="18" xfId="0" applyNumberFormat="1" applyFont="1" applyBorder="1" applyAlignment="1">
      <alignment vertical="center"/>
    </xf>
    <xf numFmtId="166" fontId="2" fillId="0" borderId="3" xfId="0" applyNumberFormat="1" applyFont="1" applyBorder="1" applyAlignment="1">
      <alignment vertical="center"/>
    </xf>
    <xf numFmtId="166" fontId="3" fillId="0" borderId="67" xfId="0" applyNumberFormat="1" applyFont="1" applyBorder="1" applyAlignment="1">
      <alignment vertical="center"/>
    </xf>
    <xf numFmtId="165" fontId="3" fillId="0" borderId="69" xfId="0" applyNumberFormat="1" applyFont="1" applyBorder="1" applyAlignment="1">
      <alignment vertical="center"/>
    </xf>
    <xf numFmtId="166" fontId="2" fillId="0" borderId="13" xfId="0" applyNumberFormat="1" applyFont="1" applyBorder="1" applyAlignment="1">
      <alignment vertical="center"/>
    </xf>
    <xf numFmtId="166" fontId="2" fillId="0" borderId="9" xfId="0" applyNumberFormat="1" applyFont="1" applyBorder="1" applyAlignment="1">
      <alignment vertical="center"/>
    </xf>
    <xf numFmtId="0" fontId="3" fillId="0" borderId="25" xfId="0" applyFont="1" applyBorder="1" applyAlignment="1">
      <alignment horizontal="center" vertical="center"/>
    </xf>
    <xf numFmtId="166" fontId="2" fillId="0" borderId="68" xfId="0" applyNumberFormat="1" applyFont="1" applyBorder="1" applyAlignment="1">
      <alignment vertical="center"/>
    </xf>
    <xf numFmtId="10" fontId="2" fillId="3" borderId="1" xfId="0" applyNumberFormat="1" applyFont="1" applyFill="1" applyBorder="1" applyAlignment="1">
      <alignment vertical="center"/>
    </xf>
    <xf numFmtId="10" fontId="2" fillId="2" borderId="0" xfId="0" applyNumberFormat="1" applyFont="1" applyFill="1" applyAlignment="1">
      <alignment horizontal="right" vertical="center"/>
    </xf>
    <xf numFmtId="182" fontId="2" fillId="0" borderId="0" xfId="0" applyNumberFormat="1" applyFont="1" applyAlignment="1">
      <alignment horizontal="center" vertical="center"/>
    </xf>
    <xf numFmtId="9" fontId="2" fillId="0" borderId="0" xfId="0" applyNumberFormat="1" applyFont="1" applyAlignment="1">
      <alignment horizontal="right" vertical="center"/>
    </xf>
    <xf numFmtId="165" fontId="2" fillId="4" borderId="0" xfId="0" applyNumberFormat="1" applyFont="1" applyFill="1" applyAlignment="1">
      <alignment horizontal="right" vertical="center"/>
    </xf>
    <xf numFmtId="165" fontId="18" fillId="0" borderId="69" xfId="0" applyNumberFormat="1" applyFont="1" applyBorder="1" applyAlignment="1">
      <alignment vertical="center"/>
    </xf>
    <xf numFmtId="10" fontId="16" fillId="0" borderId="51" xfId="0" applyNumberFormat="1" applyFont="1" applyBorder="1" applyAlignment="1">
      <alignment vertical="center"/>
    </xf>
    <xf numFmtId="165" fontId="16" fillId="0" borderId="55" xfId="0" applyNumberFormat="1" applyFont="1" applyBorder="1" applyAlignment="1">
      <alignment vertical="center"/>
    </xf>
    <xf numFmtId="165" fontId="16" fillId="2" borderId="0" xfId="0" applyNumberFormat="1" applyFont="1" applyFill="1" applyAlignment="1">
      <alignment vertical="center"/>
    </xf>
    <xf numFmtId="165" fontId="16" fillId="0" borderId="0" xfId="0" applyNumberFormat="1" applyFont="1" applyAlignment="1">
      <alignment horizontal="right" vertical="center"/>
    </xf>
    <xf numFmtId="165" fontId="16" fillId="0" borderId="0" xfId="0" applyNumberFormat="1" applyFont="1" applyAlignment="1">
      <alignment vertical="center"/>
    </xf>
    <xf numFmtId="10" fontId="16" fillId="3" borderId="0" xfId="0" applyNumberFormat="1" applyFont="1" applyFill="1" applyAlignment="1">
      <alignment horizontal="center" vertical="center"/>
    </xf>
    <xf numFmtId="165" fontId="16" fillId="0" borderId="0" xfId="0" applyNumberFormat="1" applyFont="1" applyAlignment="1">
      <alignment horizontal="center" vertical="center"/>
    </xf>
    <xf numFmtId="166" fontId="16" fillId="0" borderId="0" xfId="0" applyNumberFormat="1" applyFont="1" applyAlignment="1">
      <alignment horizontal="right" vertical="center"/>
    </xf>
    <xf numFmtId="166" fontId="16" fillId="0" borderId="0" xfId="0" applyNumberFormat="1" applyFont="1" applyAlignment="1">
      <alignment horizontal="center" vertical="center"/>
    </xf>
    <xf numFmtId="165" fontId="16" fillId="0" borderId="16" xfId="0" applyNumberFormat="1" applyFont="1" applyBorder="1" applyAlignment="1">
      <alignment vertical="center"/>
    </xf>
    <xf numFmtId="165" fontId="16" fillId="3" borderId="16" xfId="0" applyNumberFormat="1" applyFont="1" applyFill="1" applyBorder="1" applyAlignment="1">
      <alignment vertical="center"/>
    </xf>
    <xf numFmtId="187" fontId="16" fillId="0" borderId="16" xfId="0" applyNumberFormat="1" applyFont="1" applyBorder="1" applyAlignment="1">
      <alignment vertical="center"/>
    </xf>
    <xf numFmtId="187" fontId="16" fillId="0" borderId="0" xfId="0" applyNumberFormat="1" applyFont="1" applyAlignment="1">
      <alignment vertical="center"/>
    </xf>
    <xf numFmtId="165" fontId="2" fillId="3" borderId="0" xfId="0" applyNumberFormat="1" applyFont="1" applyFill="1" applyAlignment="1">
      <alignment horizontal="right" vertical="center"/>
    </xf>
    <xf numFmtId="10" fontId="16" fillId="2" borderId="0" xfId="0" applyNumberFormat="1" applyFont="1" applyFill="1" applyAlignment="1">
      <alignment vertical="center"/>
    </xf>
    <xf numFmtId="184" fontId="2" fillId="0" borderId="0" xfId="0" applyNumberFormat="1" applyFont="1" applyAlignment="1">
      <alignment horizontal="right" vertical="center"/>
    </xf>
    <xf numFmtId="10" fontId="16" fillId="0" borderId="0" xfId="0" applyNumberFormat="1" applyFont="1" applyAlignment="1">
      <alignment vertical="center"/>
    </xf>
    <xf numFmtId="186" fontId="16" fillId="0" borderId="0" xfId="0" applyNumberFormat="1" applyFont="1" applyAlignment="1">
      <alignment horizontal="right" vertical="center"/>
    </xf>
    <xf numFmtId="165" fontId="16" fillId="0" borderId="16" xfId="0" applyNumberFormat="1" applyFont="1" applyBorder="1" applyAlignment="1">
      <alignment horizontal="right" vertical="center"/>
    </xf>
    <xf numFmtId="165" fontId="16" fillId="2" borderId="0" xfId="0" applyNumberFormat="1" applyFont="1" applyFill="1" applyAlignment="1">
      <alignment horizontal="right" vertical="center"/>
    </xf>
    <xf numFmtId="165" fontId="2" fillId="0" borderId="0" xfId="0" quotePrefix="1" applyNumberFormat="1" applyFont="1" applyAlignment="1">
      <alignment horizontal="center" vertical="center"/>
    </xf>
    <xf numFmtId="166" fontId="2" fillId="0" borderId="0" xfId="0" quotePrefix="1" applyNumberFormat="1" applyFont="1" applyAlignment="1">
      <alignment horizontal="center" vertical="center"/>
    </xf>
    <xf numFmtId="184" fontId="16" fillId="0" borderId="0" xfId="0" quotePrefix="1" applyNumberFormat="1" applyFont="1" applyAlignment="1">
      <alignment horizontal="center" vertical="center"/>
    </xf>
    <xf numFmtId="186" fontId="16" fillId="0" borderId="0" xfId="0" quotePrefix="1" applyNumberFormat="1" applyFont="1" applyAlignment="1">
      <alignment horizontal="center" vertical="center"/>
    </xf>
    <xf numFmtId="186" fontId="16" fillId="0" borderId="0" xfId="0" applyNumberFormat="1" applyFont="1" applyAlignment="1">
      <alignment vertical="center"/>
    </xf>
    <xf numFmtId="165" fontId="2" fillId="0" borderId="12" xfId="0" applyNumberFormat="1" applyFont="1" applyBorder="1" applyAlignment="1">
      <alignment vertical="center"/>
    </xf>
    <xf numFmtId="166" fontId="2" fillId="0" borderId="31" xfId="0" applyNumberFormat="1" applyFont="1" applyBorder="1" applyAlignment="1">
      <alignment vertical="center"/>
    </xf>
    <xf numFmtId="166" fontId="3" fillId="0" borderId="62" xfId="0" applyNumberFormat="1" applyFont="1" applyBorder="1" applyAlignment="1">
      <alignment vertical="center"/>
    </xf>
    <xf numFmtId="165" fontId="3" fillId="0" borderId="31" xfId="0" applyNumberFormat="1" applyFont="1" applyBorder="1" applyAlignment="1">
      <alignment vertical="center"/>
    </xf>
    <xf numFmtId="39" fontId="3" fillId="0" borderId="31" xfId="0" applyNumberFormat="1" applyFont="1" applyBorder="1" applyAlignment="1">
      <alignment vertical="center"/>
    </xf>
    <xf numFmtId="39" fontId="3" fillId="0" borderId="0" xfId="0" applyNumberFormat="1" applyFont="1" applyAlignment="1">
      <alignment vertical="center"/>
    </xf>
    <xf numFmtId="39" fontId="3" fillId="0" borderId="13" xfId="0" applyNumberFormat="1" applyFont="1" applyBorder="1" applyAlignment="1">
      <alignment vertical="center"/>
    </xf>
    <xf numFmtId="10" fontId="3" fillId="0" borderId="31" xfId="0" applyNumberFormat="1" applyFont="1" applyBorder="1" applyAlignment="1">
      <alignment vertical="center"/>
    </xf>
    <xf numFmtId="10" fontId="3" fillId="0" borderId="13" xfId="0" applyNumberFormat="1" applyFont="1" applyBorder="1" applyAlignment="1">
      <alignment vertical="center"/>
    </xf>
    <xf numFmtId="165" fontId="2" fillId="0" borderId="51" xfId="0" applyNumberFormat="1" applyFont="1" applyBorder="1" applyAlignment="1">
      <alignment vertical="center"/>
    </xf>
    <xf numFmtId="165" fontId="2" fillId="0" borderId="55" xfId="0" applyNumberFormat="1" applyFont="1" applyBorder="1" applyAlignment="1">
      <alignment vertical="center"/>
    </xf>
    <xf numFmtId="10" fontId="2" fillId="0" borderId="55" xfId="0" applyNumberFormat="1" applyFont="1" applyBorder="1" applyAlignment="1">
      <alignment vertical="center"/>
    </xf>
    <xf numFmtId="165" fontId="2" fillId="3" borderId="19" xfId="0" applyNumberFormat="1" applyFont="1" applyFill="1" applyBorder="1" applyAlignment="1">
      <alignment vertical="center"/>
    </xf>
    <xf numFmtId="165" fontId="2" fillId="0" borderId="19" xfId="0" applyNumberFormat="1" applyFont="1" applyBorder="1" applyAlignment="1">
      <alignment vertical="center"/>
    </xf>
    <xf numFmtId="166" fontId="2" fillId="3" borderId="19" xfId="0" applyNumberFormat="1" applyFont="1" applyFill="1" applyBorder="1" applyAlignment="1">
      <alignment vertical="center"/>
    </xf>
    <xf numFmtId="166" fontId="2" fillId="0" borderId="19" xfId="0" applyNumberFormat="1" applyFont="1" applyBorder="1" applyAlignment="1">
      <alignment vertical="center"/>
    </xf>
    <xf numFmtId="166" fontId="2" fillId="3" borderId="63" xfId="0" applyNumberFormat="1" applyFont="1" applyFill="1" applyBorder="1" applyAlignment="1">
      <alignment vertical="center"/>
    </xf>
    <xf numFmtId="166" fontId="2" fillId="0" borderId="72" xfId="0" applyNumberFormat="1" applyFont="1" applyBorder="1" applyAlignment="1">
      <alignment vertical="center"/>
    </xf>
    <xf numFmtId="166" fontId="2" fillId="0" borderId="63" xfId="0" applyNumberFormat="1" applyFont="1" applyBorder="1" applyAlignment="1">
      <alignment vertical="center"/>
    </xf>
    <xf numFmtId="166" fontId="2" fillId="0" borderId="49" xfId="0" applyNumberFormat="1" applyFont="1" applyBorder="1" applyAlignment="1">
      <alignment vertical="center"/>
    </xf>
    <xf numFmtId="166" fontId="2" fillId="0" borderId="52" xfId="0" applyNumberFormat="1" applyFont="1" applyBorder="1" applyAlignment="1">
      <alignment vertical="center"/>
    </xf>
    <xf numFmtId="166" fontId="2" fillId="0" borderId="14" xfId="0" applyNumberFormat="1" applyFont="1" applyBorder="1" applyAlignment="1">
      <alignment vertical="center"/>
    </xf>
    <xf numFmtId="166" fontId="2" fillId="3" borderId="9" xfId="0" applyNumberFormat="1" applyFont="1" applyFill="1" applyBorder="1" applyAlignment="1">
      <alignment vertical="center"/>
    </xf>
    <xf numFmtId="166" fontId="2" fillId="0" borderId="17" xfId="0" applyNumberFormat="1" applyFont="1" applyBorder="1" applyAlignment="1">
      <alignment vertical="center"/>
    </xf>
    <xf numFmtId="166" fontId="2" fillId="0" borderId="21" xfId="0" applyNumberFormat="1" applyFont="1" applyBorder="1" applyAlignment="1">
      <alignment vertical="center"/>
    </xf>
    <xf numFmtId="165" fontId="3" fillId="0" borderId="39" xfId="0" applyNumberFormat="1" applyFont="1" applyBorder="1" applyAlignment="1">
      <alignment vertical="center"/>
    </xf>
    <xf numFmtId="165" fontId="3" fillId="0" borderId="28" xfId="0" applyNumberFormat="1" applyFont="1" applyBorder="1" applyAlignment="1">
      <alignment vertical="center"/>
    </xf>
    <xf numFmtId="165" fontId="3" fillId="0" borderId="27" xfId="0" applyNumberFormat="1" applyFont="1" applyBorder="1" applyAlignment="1">
      <alignment vertical="center"/>
    </xf>
    <xf numFmtId="165" fontId="3" fillId="0" borderId="29" xfId="0" applyNumberFormat="1" applyFont="1" applyBorder="1" applyAlignment="1">
      <alignment vertical="center"/>
    </xf>
    <xf numFmtId="165" fontId="3" fillId="0" borderId="38" xfId="0" applyNumberFormat="1" applyFont="1" applyBorder="1" applyAlignment="1">
      <alignment vertical="center"/>
    </xf>
    <xf numFmtId="165" fontId="3" fillId="0" borderId="37" xfId="0" applyNumberFormat="1" applyFont="1" applyBorder="1" applyAlignment="1">
      <alignment vertical="center"/>
    </xf>
    <xf numFmtId="0" fontId="25" fillId="0" borderId="0" xfId="0" applyFont="1" applyAlignment="1">
      <alignment vertical="center"/>
    </xf>
    <xf numFmtId="169" fontId="3" fillId="0" borderId="37" xfId="0" applyNumberFormat="1" applyFont="1" applyBorder="1" applyAlignment="1">
      <alignment vertical="center"/>
    </xf>
    <xf numFmtId="0" fontId="2" fillId="0" borderId="70" xfId="0" applyFont="1" applyBorder="1" applyAlignment="1">
      <alignment vertical="center"/>
    </xf>
    <xf numFmtId="165" fontId="3" fillId="0" borderId="56" xfId="0" applyNumberFormat="1" applyFont="1" applyBorder="1" applyAlignment="1">
      <alignment vertical="center"/>
    </xf>
    <xf numFmtId="165" fontId="3" fillId="0" borderId="57" xfId="0" applyNumberFormat="1" applyFont="1" applyBorder="1" applyAlignment="1">
      <alignment vertical="center"/>
    </xf>
    <xf numFmtId="165" fontId="3" fillId="0" borderId="58" xfId="0" applyNumberFormat="1" applyFont="1" applyBorder="1" applyAlignment="1">
      <alignment vertical="center"/>
    </xf>
    <xf numFmtId="165" fontId="3" fillId="0" borderId="59" xfId="0" applyNumberFormat="1" applyFont="1" applyBorder="1" applyAlignment="1">
      <alignment vertical="center"/>
    </xf>
    <xf numFmtId="10" fontId="3" fillId="0" borderId="41" xfId="0" applyNumberFormat="1" applyFont="1" applyBorder="1" applyAlignment="1">
      <alignment vertical="center"/>
    </xf>
    <xf numFmtId="10" fontId="3" fillId="0" borderId="60" xfId="0" applyNumberFormat="1" applyFont="1" applyBorder="1" applyAlignment="1">
      <alignment vertical="center"/>
    </xf>
    <xf numFmtId="10" fontId="3" fillId="0" borderId="61" xfId="0" applyNumberFormat="1" applyFont="1" applyBorder="1" applyAlignment="1">
      <alignment vertical="center"/>
    </xf>
    <xf numFmtId="10" fontId="3" fillId="0" borderId="55" xfId="0" applyNumberFormat="1" applyFont="1" applyBorder="1" applyAlignment="1">
      <alignment vertical="center"/>
    </xf>
    <xf numFmtId="0" fontId="2" fillId="0" borderId="62" xfId="0" applyFont="1" applyBorder="1" applyAlignment="1">
      <alignment vertical="center"/>
    </xf>
    <xf numFmtId="0" fontId="2" fillId="0" borderId="63" xfId="0" applyFont="1" applyBorder="1" applyAlignment="1">
      <alignment vertical="center"/>
    </xf>
    <xf numFmtId="0" fontId="2" fillId="0" borderId="49" xfId="0" applyFont="1" applyBorder="1" applyAlignment="1">
      <alignment vertical="center"/>
    </xf>
    <xf numFmtId="166" fontId="2" fillId="3" borderId="49" xfId="0" applyNumberFormat="1" applyFont="1" applyFill="1" applyBorder="1" applyAlignment="1">
      <alignment vertical="center"/>
    </xf>
    <xf numFmtId="166" fontId="2" fillId="3" borderId="17" xfId="0" applyNumberFormat="1" applyFont="1" applyFill="1" applyBorder="1" applyAlignment="1">
      <alignment vertical="center"/>
    </xf>
    <xf numFmtId="166" fontId="2" fillId="3" borderId="12" xfId="0" applyNumberFormat="1" applyFont="1" applyFill="1" applyBorder="1" applyAlignment="1">
      <alignment vertical="center"/>
    </xf>
    <xf numFmtId="166" fontId="2" fillId="0" borderId="12" xfId="0" applyNumberFormat="1" applyFont="1" applyBorder="1" applyAlignment="1">
      <alignment vertical="center"/>
    </xf>
    <xf numFmtId="166" fontId="2" fillId="3" borderId="66" xfId="0" applyNumberFormat="1" applyFont="1" applyFill="1" applyBorder="1" applyAlignment="1">
      <alignment vertical="center"/>
    </xf>
    <xf numFmtId="166" fontId="2" fillId="0" borderId="70" xfId="0" applyNumberFormat="1" applyFont="1" applyBorder="1" applyAlignment="1">
      <alignment vertical="center"/>
    </xf>
    <xf numFmtId="166" fontId="2" fillId="0" borderId="66" xfId="0" applyNumberFormat="1" applyFont="1" applyBorder="1" applyAlignment="1">
      <alignment vertical="center"/>
    </xf>
    <xf numFmtId="177" fontId="3" fillId="0" borderId="37" xfId="0" applyNumberFormat="1" applyFont="1" applyBorder="1" applyAlignment="1">
      <alignment vertical="center"/>
    </xf>
    <xf numFmtId="165" fontId="3" fillId="0" borderId="0" xfId="0" applyNumberFormat="1" applyFont="1" applyAlignment="1">
      <alignment horizontal="center" vertical="center"/>
    </xf>
    <xf numFmtId="166" fontId="3" fillId="0" borderId="31" xfId="0" applyNumberFormat="1" applyFont="1" applyBorder="1" applyAlignment="1">
      <alignment vertical="center"/>
    </xf>
    <xf numFmtId="0" fontId="3" fillId="0" borderId="0" xfId="0" applyFont="1" applyAlignment="1">
      <alignment horizontal="center" vertical="center"/>
    </xf>
    <xf numFmtId="165" fontId="2" fillId="3" borderId="5" xfId="0" applyNumberFormat="1" applyFont="1" applyFill="1" applyBorder="1" applyAlignment="1">
      <alignment vertical="center"/>
    </xf>
    <xf numFmtId="165" fontId="2" fillId="0" borderId="13" xfId="0" applyNumberFormat="1" applyFont="1" applyBorder="1" applyAlignment="1">
      <alignment vertical="center"/>
    </xf>
    <xf numFmtId="166" fontId="2" fillId="3" borderId="5" xfId="0" applyNumberFormat="1" applyFont="1" applyFill="1" applyBorder="1" applyAlignment="1">
      <alignment vertical="center"/>
    </xf>
    <xf numFmtId="166" fontId="2" fillId="3" borderId="14" xfId="0" applyNumberFormat="1" applyFont="1" applyFill="1" applyBorder="1" applyAlignment="1">
      <alignment vertical="center"/>
    </xf>
    <xf numFmtId="166" fontId="2" fillId="3" borderId="21" xfId="0" applyNumberFormat="1" applyFont="1" applyFill="1" applyBorder="1" applyAlignment="1">
      <alignment vertical="center"/>
    </xf>
    <xf numFmtId="166" fontId="2" fillId="0" borderId="11" xfId="0" applyNumberFormat="1" applyFont="1" applyBorder="1" applyAlignment="1">
      <alignment vertical="center"/>
    </xf>
    <xf numFmtId="167" fontId="16" fillId="3" borderId="0" xfId="0" applyNumberFormat="1" applyFont="1" applyFill="1" applyAlignment="1">
      <alignment vertical="center"/>
    </xf>
    <xf numFmtId="0" fontId="3" fillId="0" borderId="33" xfId="0" applyFont="1" applyBorder="1" applyAlignment="1">
      <alignment horizontal="centerContinuous" vertical="center"/>
    </xf>
    <xf numFmtId="0" fontId="3" fillId="0" borderId="23" xfId="0" applyFont="1" applyBorder="1" applyAlignment="1">
      <alignment horizontal="centerContinuous" vertical="center"/>
    </xf>
    <xf numFmtId="0" fontId="3" fillId="0" borderId="34" xfId="0" applyFont="1" applyBorder="1" applyAlignment="1">
      <alignment horizontal="centerContinuous" vertical="center"/>
    </xf>
    <xf numFmtId="0" fontId="3" fillId="0" borderId="32" xfId="0" applyFont="1" applyBorder="1" applyAlignment="1">
      <alignment horizontal="centerContinuous" vertical="center"/>
    </xf>
    <xf numFmtId="0" fontId="3" fillId="0" borderId="24" xfId="0" applyFont="1" applyBorder="1" applyAlignment="1">
      <alignment horizontal="centerContinuous" vertical="center"/>
    </xf>
    <xf numFmtId="0" fontId="3" fillId="0" borderId="30" xfId="0" applyFont="1" applyBorder="1" applyAlignment="1">
      <alignment horizontal="center" vertical="center"/>
    </xf>
    <xf numFmtId="165" fontId="2" fillId="0" borderId="50" xfId="0" applyNumberFormat="1" applyFont="1" applyBorder="1" applyAlignment="1">
      <alignment vertical="center"/>
    </xf>
    <xf numFmtId="166" fontId="2" fillId="0" borderId="50" xfId="0" applyNumberFormat="1" applyFont="1" applyBorder="1" applyAlignment="1">
      <alignment vertical="center"/>
    </xf>
    <xf numFmtId="0" fontId="2" fillId="0" borderId="50" xfId="0" applyFont="1" applyBorder="1" applyAlignment="1">
      <alignment vertical="center"/>
    </xf>
    <xf numFmtId="171" fontId="2" fillId="0" borderId="50" xfId="0" applyNumberFormat="1" applyFont="1" applyBorder="1" applyAlignment="1">
      <alignment vertical="center"/>
    </xf>
    <xf numFmtId="165" fontId="3" fillId="0" borderId="6" xfId="0" applyNumberFormat="1" applyFont="1" applyBorder="1" applyAlignment="1">
      <alignment vertical="center"/>
    </xf>
    <xf numFmtId="166" fontId="16" fillId="0" borderId="67" xfId="0" applyNumberFormat="1" applyFont="1" applyBorder="1" applyAlignment="1">
      <alignment vertical="center"/>
    </xf>
    <xf numFmtId="166" fontId="16" fillId="0" borderId="75" xfId="0" applyNumberFormat="1" applyFont="1" applyBorder="1" applyAlignment="1">
      <alignment vertical="center"/>
    </xf>
    <xf numFmtId="165" fontId="18" fillId="0" borderId="75" xfId="0" applyNumberFormat="1" applyFont="1" applyBorder="1" applyAlignment="1">
      <alignment vertical="center"/>
    </xf>
    <xf numFmtId="0" fontId="16" fillId="0" borderId="52" xfId="0" applyFont="1" applyBorder="1" applyAlignment="1">
      <alignment vertical="center"/>
    </xf>
    <xf numFmtId="177" fontId="2" fillId="3" borderId="31" xfId="0" applyNumberFormat="1" applyFont="1" applyFill="1" applyBorder="1" applyAlignment="1">
      <alignment horizontal="center" vertical="center"/>
    </xf>
    <xf numFmtId="177" fontId="2" fillId="2" borderId="31" xfId="0" applyNumberFormat="1" applyFont="1" applyFill="1" applyBorder="1" applyAlignment="1">
      <alignment horizontal="center" vertical="center"/>
    </xf>
    <xf numFmtId="177" fontId="2" fillId="2" borderId="62" xfId="0" applyNumberFormat="1" applyFont="1" applyFill="1" applyBorder="1" applyAlignment="1">
      <alignment horizontal="center" vertical="center"/>
    </xf>
    <xf numFmtId="177" fontId="2" fillId="2" borderId="30" xfId="0" applyNumberFormat="1" applyFont="1" applyFill="1" applyBorder="1" applyAlignment="1">
      <alignment horizontal="center" vertical="center"/>
    </xf>
    <xf numFmtId="177" fontId="2" fillId="3" borderId="62" xfId="0" applyNumberFormat="1" applyFont="1" applyFill="1" applyBorder="1" applyAlignment="1">
      <alignment horizontal="center" vertical="center"/>
    </xf>
    <xf numFmtId="177" fontId="2" fillId="3" borderId="30" xfId="0" applyNumberFormat="1" applyFont="1" applyFill="1" applyBorder="1" applyAlignment="1">
      <alignment horizontal="center" vertical="center"/>
    </xf>
    <xf numFmtId="10" fontId="2" fillId="0" borderId="51" xfId="0" applyNumberFormat="1" applyFont="1" applyBorder="1" applyAlignment="1">
      <alignment horizontal="right" vertical="center"/>
    </xf>
    <xf numFmtId="0" fontId="8" fillId="0" borderId="0" xfId="0" applyFont="1" applyAlignment="1">
      <alignment horizontal="left" vertical="center"/>
    </xf>
    <xf numFmtId="0" fontId="2" fillId="0" borderId="0" xfId="0" quotePrefix="1" applyFont="1" applyAlignment="1">
      <alignment vertical="center"/>
    </xf>
    <xf numFmtId="0" fontId="5" fillId="0" borderId="0" xfId="0" applyFont="1" applyAlignment="1">
      <alignment horizontal="left" vertical="center"/>
    </xf>
    <xf numFmtId="0" fontId="5" fillId="0" borderId="0" xfId="0" applyFont="1" applyAlignment="1">
      <alignment vertical="center"/>
    </xf>
    <xf numFmtId="6" fontId="2" fillId="0" borderId="0" xfId="0" applyNumberFormat="1" applyFont="1" applyAlignment="1">
      <alignment vertical="center"/>
    </xf>
    <xf numFmtId="0" fontId="6" fillId="0" borderId="0" xfId="0" quotePrefix="1" applyFont="1" applyAlignment="1">
      <alignment horizontal="center" vertical="center"/>
    </xf>
    <xf numFmtId="0" fontId="8" fillId="0" borderId="0" xfId="0" applyFont="1" applyAlignment="1">
      <alignment horizontal="center" vertical="center"/>
    </xf>
    <xf numFmtId="0" fontId="22" fillId="0" borderId="0" xfId="0" applyFont="1" applyAlignment="1">
      <alignment vertical="center"/>
    </xf>
    <xf numFmtId="0" fontId="2" fillId="0" borderId="0" xfId="0" applyFont="1" applyAlignment="1">
      <alignment vertical="center" wrapText="1"/>
    </xf>
    <xf numFmtId="0" fontId="7" fillId="0" borderId="0" xfId="0" applyFont="1" applyAlignment="1">
      <alignment horizontal="center" vertical="center"/>
    </xf>
    <xf numFmtId="3" fontId="2" fillId="0" borderId="0" xfId="0" applyNumberFormat="1" applyFont="1" applyAlignment="1">
      <alignment vertical="center"/>
    </xf>
    <xf numFmtId="0" fontId="14" fillId="0" borderId="0" xfId="0" applyFont="1" applyAlignment="1">
      <alignment vertical="center"/>
    </xf>
    <xf numFmtId="0" fontId="2" fillId="0" borderId="0" xfId="0" applyFont="1" applyAlignment="1" applyProtection="1">
      <alignment horizontal="center" vertical="center"/>
      <protection locked="0"/>
    </xf>
    <xf numFmtId="5" fontId="2" fillId="0" borderId="0" xfId="0" quotePrefix="1" applyNumberFormat="1" applyFont="1" applyAlignment="1">
      <alignment horizontal="center" vertical="center"/>
    </xf>
    <xf numFmtId="0" fontId="3" fillId="0" borderId="0" xfId="0" quotePrefix="1" applyFont="1" applyAlignment="1">
      <alignment horizontal="center" vertical="center"/>
    </xf>
    <xf numFmtId="0" fontId="5" fillId="0" borderId="0" xfId="0" applyFont="1" applyAlignment="1">
      <alignment horizontal="center" vertical="center"/>
    </xf>
    <xf numFmtId="5" fontId="22" fillId="0" borderId="0" xfId="0" applyNumberFormat="1" applyFont="1" applyAlignment="1" applyProtection="1">
      <alignment horizontal="center" vertical="center"/>
      <protection locked="0"/>
    </xf>
    <xf numFmtId="165" fontId="22" fillId="0" borderId="0" xfId="0" applyNumberFormat="1" applyFont="1" applyAlignment="1">
      <alignment horizontal="left" vertical="center"/>
    </xf>
    <xf numFmtId="0" fontId="6" fillId="0" borderId="0" xfId="0" applyFont="1" applyAlignment="1">
      <alignment horizontal="center" vertical="center"/>
    </xf>
    <xf numFmtId="0" fontId="3" fillId="0" borderId="0" xfId="0" applyFont="1" applyAlignment="1">
      <alignment horizontal="centerContinuous" vertical="center"/>
    </xf>
    <xf numFmtId="166" fontId="3" fillId="0" borderId="0" xfId="0" applyNumberFormat="1" applyFont="1" applyAlignment="1">
      <alignment horizontal="centerContinuous" vertical="center"/>
    </xf>
    <xf numFmtId="0" fontId="3" fillId="0" borderId="4" xfId="0" quotePrefix="1" applyFont="1" applyBorder="1" applyAlignment="1">
      <alignment horizontal="center" vertical="center"/>
    </xf>
    <xf numFmtId="0" fontId="3" fillId="0" borderId="50" xfId="0" applyFont="1" applyBorder="1" applyAlignment="1">
      <alignment horizontal="center" vertical="center"/>
    </xf>
    <xf numFmtId="0" fontId="3" fillId="0" borderId="5" xfId="0" quotePrefix="1" applyFont="1" applyBorder="1" applyAlignment="1">
      <alignment horizontal="center" vertical="center"/>
    </xf>
    <xf numFmtId="0" fontId="2" fillId="0" borderId="0" xfId="0" applyFont="1" applyAlignment="1">
      <alignment horizontal="centerContinuous" vertical="center"/>
    </xf>
    <xf numFmtId="0" fontId="3" fillId="0" borderId="50" xfId="0" applyFont="1" applyBorder="1" applyAlignment="1">
      <alignment horizontal="left" vertical="center"/>
    </xf>
    <xf numFmtId="0" fontId="3" fillId="0" borderId="5" xfId="0" applyFont="1" applyBorder="1" applyAlignment="1">
      <alignment horizontal="center" vertical="center"/>
    </xf>
    <xf numFmtId="0" fontId="3" fillId="0" borderId="51" xfId="0" applyFont="1" applyBorder="1" applyAlignment="1">
      <alignment horizontal="center" vertical="center"/>
    </xf>
    <xf numFmtId="0" fontId="3" fillId="0" borderId="53" xfId="0" applyFont="1" applyBorder="1" applyAlignment="1">
      <alignment horizontal="center" vertical="center"/>
    </xf>
    <xf numFmtId="0" fontId="4" fillId="0" borderId="0" xfId="0" applyFont="1" applyAlignment="1">
      <alignment vertical="center"/>
    </xf>
    <xf numFmtId="0" fontId="3" fillId="0" borderId="50" xfId="0" applyFont="1" applyBorder="1" applyAlignment="1">
      <alignment vertical="center"/>
    </xf>
    <xf numFmtId="37" fontId="3" fillId="0" borderId="53" xfId="0" applyNumberFormat="1" applyFont="1" applyBorder="1" applyAlignment="1">
      <alignment vertical="center"/>
    </xf>
    <xf numFmtId="37" fontId="3" fillId="0" borderId="0" xfId="0" applyNumberFormat="1" applyFont="1" applyAlignment="1">
      <alignment vertical="center"/>
    </xf>
    <xf numFmtId="168" fontId="3" fillId="0" borderId="0" xfId="0" applyNumberFormat="1" applyFont="1" applyAlignment="1">
      <alignment vertical="center"/>
    </xf>
    <xf numFmtId="168" fontId="2" fillId="0" borderId="0" xfId="0" applyNumberFormat="1" applyFont="1" applyAlignment="1">
      <alignment vertical="center"/>
    </xf>
    <xf numFmtId="168" fontId="3" fillId="0" borderId="51" xfId="0" applyNumberFormat="1" applyFont="1" applyBorder="1" applyAlignment="1">
      <alignment vertical="center"/>
    </xf>
    <xf numFmtId="0" fontId="2" fillId="0" borderId="51" xfId="0" applyFont="1" applyBorder="1" applyAlignment="1">
      <alignment horizontal="centerContinuous" vertical="center"/>
    </xf>
    <xf numFmtId="0" fontId="2" fillId="0" borderId="51" xfId="0" applyFont="1" applyBorder="1" applyAlignment="1">
      <alignment vertical="center"/>
    </xf>
    <xf numFmtId="44" fontId="1" fillId="0" borderId="0" xfId="0" applyNumberFormat="1" applyFont="1" applyAlignment="1">
      <alignment vertical="center"/>
    </xf>
    <xf numFmtId="0" fontId="3" fillId="0" borderId="50" xfId="0" applyFont="1" applyBorder="1" applyAlignment="1">
      <alignment horizontal="right" vertical="center"/>
    </xf>
    <xf numFmtId="0" fontId="3" fillId="0" borderId="4" xfId="0" applyFont="1" applyBorder="1" applyAlignment="1">
      <alignment horizontal="center" vertical="center"/>
    </xf>
    <xf numFmtId="17" fontId="3" fillId="0" borderId="51" xfId="0" applyNumberFormat="1" applyFont="1" applyBorder="1" applyAlignment="1">
      <alignment horizontal="left" vertical="center"/>
    </xf>
    <xf numFmtId="3" fontId="3" fillId="0" borderId="51" xfId="0" applyNumberFormat="1" applyFont="1" applyBorder="1" applyAlignment="1">
      <alignment horizontal="centerContinuous" vertical="center"/>
    </xf>
    <xf numFmtId="3" fontId="2" fillId="0" borderId="51" xfId="0" applyNumberFormat="1" applyFont="1" applyBorder="1" applyAlignment="1">
      <alignment horizontal="centerContinuous" vertical="center"/>
    </xf>
    <xf numFmtId="37" fontId="3" fillId="0" borderId="51" xfId="0" applyNumberFormat="1" applyFont="1" applyBorder="1" applyAlignment="1">
      <alignment vertical="center"/>
    </xf>
    <xf numFmtId="0" fontId="2" fillId="0" borderId="0" xfId="0" quotePrefix="1" applyFont="1" applyAlignment="1">
      <alignment horizontal="left" vertical="center"/>
    </xf>
    <xf numFmtId="166" fontId="2" fillId="0" borderId="0" xfId="0" applyNumberFormat="1" applyFont="1" applyAlignment="1">
      <alignment horizontal="centerContinuous" vertical="center"/>
    </xf>
    <xf numFmtId="166" fontId="3" fillId="0" borderId="50" xfId="0" applyNumberFormat="1" applyFont="1" applyBorder="1" applyAlignment="1">
      <alignment horizontal="center" vertical="center"/>
    </xf>
    <xf numFmtId="166" fontId="3" fillId="0" borderId="3" xfId="0" applyNumberFormat="1" applyFont="1" applyBorder="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center" vertical="center"/>
    </xf>
    <xf numFmtId="166" fontId="3" fillId="0" borderId="5" xfId="0" applyNumberFormat="1" applyFont="1" applyBorder="1" applyAlignment="1">
      <alignment horizontal="center" vertical="center"/>
    </xf>
    <xf numFmtId="166" fontId="3" fillId="0" borderId="0" xfId="0" applyNumberFormat="1" applyFont="1" applyAlignment="1">
      <alignment horizontal="center" vertical="center"/>
    </xf>
    <xf numFmtId="166" fontId="3" fillId="0" borderId="51" xfId="0" applyNumberFormat="1" applyFont="1" applyBorder="1" applyAlignment="1">
      <alignment horizontal="center" vertical="center"/>
    </xf>
    <xf numFmtId="0" fontId="2" fillId="0" borderId="6" xfId="0" applyFont="1" applyBorder="1" applyAlignment="1">
      <alignment horizontal="center" vertical="center"/>
    </xf>
    <xf numFmtId="0" fontId="3" fillId="0" borderId="7" xfId="0" applyFont="1" applyBorder="1" applyAlignment="1">
      <alignment horizontal="left" vertical="center"/>
    </xf>
    <xf numFmtId="166" fontId="3" fillId="0" borderId="50" xfId="0" applyNumberFormat="1" applyFont="1" applyBorder="1" applyAlignment="1">
      <alignment horizontal="centerContinuous" vertical="center"/>
    </xf>
    <xf numFmtId="166" fontId="3" fillId="0" borderId="3" xfId="0" applyNumberFormat="1" applyFont="1" applyBorder="1" applyAlignment="1">
      <alignment horizontal="centerContinuous" vertical="center"/>
    </xf>
    <xf numFmtId="0" fontId="3" fillId="0" borderId="54" xfId="0" applyFont="1" applyBorder="1" applyAlignment="1">
      <alignment horizontal="center" vertical="center"/>
    </xf>
    <xf numFmtId="166" fontId="3" fillId="0" borderId="53" xfId="0" applyNumberFormat="1" applyFont="1" applyBorder="1" applyAlignment="1">
      <alignment horizontal="center" vertical="center"/>
    </xf>
    <xf numFmtId="166" fontId="3" fillId="0" borderId="51" xfId="0" applyNumberFormat="1" applyFont="1" applyBorder="1" applyAlignment="1">
      <alignment horizontal="centerContinuous" vertical="center"/>
    </xf>
    <xf numFmtId="0" fontId="3" fillId="0" borderId="51" xfId="0" applyFont="1" applyBorder="1" applyAlignment="1">
      <alignment horizontal="centerContinuous" vertical="center"/>
    </xf>
    <xf numFmtId="168" fontId="2" fillId="0" borderId="51" xfId="0" applyNumberFormat="1" applyFont="1" applyBorder="1" applyAlignment="1">
      <alignment vertical="center"/>
    </xf>
    <xf numFmtId="0" fontId="3" fillId="0" borderId="2" xfId="0" applyFont="1" applyBorder="1" applyAlignment="1">
      <alignment vertical="center"/>
    </xf>
    <xf numFmtId="0" fontId="3" fillId="0" borderId="4" xfId="0" quotePrefix="1" applyFont="1" applyBorder="1" applyAlignment="1">
      <alignment vertical="center"/>
    </xf>
    <xf numFmtId="0" fontId="3" fillId="0" borderId="5" xfId="0" applyFont="1" applyBorder="1" applyAlignment="1">
      <alignment horizontal="centerContinuous" vertical="center"/>
    </xf>
    <xf numFmtId="0" fontId="3" fillId="0" borderId="3" xfId="0" applyFont="1" applyBorder="1" applyAlignment="1">
      <alignment horizontal="left" vertical="center"/>
    </xf>
    <xf numFmtId="3" fontId="3" fillId="0" borderId="5" xfId="0" applyNumberFormat="1" applyFont="1" applyBorder="1" applyAlignment="1">
      <alignment vertical="center"/>
    </xf>
    <xf numFmtId="3" fontId="2" fillId="0" borderId="5" xfId="0" applyNumberFormat="1" applyFont="1" applyBorder="1" applyAlignment="1">
      <alignment horizontal="centerContinuous" vertical="center"/>
    </xf>
    <xf numFmtId="15" fontId="2" fillId="0" borderId="3" xfId="0" applyNumberFormat="1" applyFont="1" applyBorder="1" applyAlignment="1">
      <alignment vertical="center"/>
    </xf>
    <xf numFmtId="3" fontId="2" fillId="0" borderId="5" xfId="0" applyNumberFormat="1" applyFont="1" applyBorder="1" applyAlignment="1">
      <alignment vertical="center"/>
    </xf>
    <xf numFmtId="0" fontId="3" fillId="0" borderId="3" xfId="0" applyFont="1" applyBorder="1" applyAlignment="1">
      <alignment vertical="center"/>
    </xf>
    <xf numFmtId="3" fontId="3" fillId="0" borderId="53" xfId="0" applyNumberFormat="1" applyFont="1" applyBorder="1" applyAlignment="1">
      <alignment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3" fillId="0" borderId="48" xfId="0" applyFont="1" applyBorder="1" applyAlignment="1">
      <alignment horizontal="centerContinuous" vertical="center"/>
    </xf>
    <xf numFmtId="0" fontId="2" fillId="0" borderId="3" xfId="0" applyFont="1" applyBorder="1" applyAlignment="1">
      <alignment horizontal="right" vertical="center"/>
    </xf>
    <xf numFmtId="0" fontId="2" fillId="0" borderId="48" xfId="0" applyFont="1" applyBorder="1" applyAlignment="1">
      <alignment horizontal="center" vertical="center"/>
    </xf>
    <xf numFmtId="17" fontId="2" fillId="0" borderId="3" xfId="0" applyNumberFormat="1" applyFont="1" applyBorder="1" applyAlignment="1">
      <alignment horizontal="left" vertical="center"/>
    </xf>
    <xf numFmtId="17" fontId="2" fillId="0" borderId="54" xfId="0" applyNumberFormat="1" applyFont="1" applyBorder="1" applyAlignment="1">
      <alignment horizontal="left" vertical="center"/>
    </xf>
    <xf numFmtId="0" fontId="3" fillId="0" borderId="54" xfId="0" applyFont="1" applyBorder="1" applyAlignment="1">
      <alignment vertical="center"/>
    </xf>
    <xf numFmtId="0" fontId="16" fillId="0" borderId="0" xfId="0" applyFont="1" applyAlignment="1">
      <alignment vertical="center" wrapText="1"/>
    </xf>
    <xf numFmtId="5" fontId="22" fillId="0" borderId="0" xfId="0" applyNumberFormat="1" applyFont="1" applyAlignment="1">
      <alignment horizontal="center" vertical="center"/>
    </xf>
    <xf numFmtId="44" fontId="0" fillId="0" borderId="0" xfId="0" applyNumberFormat="1" applyAlignment="1">
      <alignment vertical="center"/>
    </xf>
    <xf numFmtId="0" fontId="2" fillId="0" borderId="3" xfId="0" applyFont="1" applyBorder="1" applyAlignment="1">
      <alignment vertical="center"/>
    </xf>
    <xf numFmtId="0" fontId="3" fillId="0" borderId="7" xfId="0" applyFont="1" applyBorder="1" applyAlignment="1">
      <alignment vertical="center"/>
    </xf>
    <xf numFmtId="171" fontId="2" fillId="0" borderId="0" xfId="0" applyNumberFormat="1" applyFont="1" applyAlignment="1">
      <alignment vertical="center"/>
    </xf>
    <xf numFmtId="166" fontId="3" fillId="0" borderId="4" xfId="0" quotePrefix="1" applyNumberFormat="1" applyFont="1" applyBorder="1" applyAlignment="1">
      <alignment horizontal="center" vertical="center"/>
    </xf>
    <xf numFmtId="165" fontId="2" fillId="0" borderId="3" xfId="0" applyNumberFormat="1" applyFont="1" applyBorder="1" applyAlignment="1">
      <alignment horizontal="left" vertical="center"/>
    </xf>
    <xf numFmtId="0" fontId="3" fillId="0" borderId="0" xfId="0" quotePrefix="1" applyFont="1" applyAlignment="1">
      <alignment horizontal="centerContinuous" vertical="center"/>
    </xf>
    <xf numFmtId="0" fontId="23" fillId="0" borderId="0" xfId="0"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left" vertical="center"/>
    </xf>
    <xf numFmtId="0" fontId="16" fillId="0" borderId="0" xfId="0" applyFont="1" applyAlignment="1">
      <alignment horizontal="center" vertical="center"/>
    </xf>
    <xf numFmtId="0" fontId="16" fillId="0" borderId="0" xfId="0" applyFont="1" applyAlignment="1">
      <alignment horizontal="left" vertical="center"/>
    </xf>
    <xf numFmtId="14" fontId="16" fillId="0" borderId="0" xfId="0" applyNumberFormat="1" applyFont="1" applyAlignment="1">
      <alignment vertical="center"/>
    </xf>
    <xf numFmtId="0" fontId="23" fillId="0" borderId="0" xfId="0" quotePrefix="1" applyFont="1" applyAlignment="1">
      <alignment horizontal="center" vertical="center"/>
    </xf>
    <xf numFmtId="172" fontId="2" fillId="0" borderId="0" xfId="0" applyNumberFormat="1" applyFont="1" applyAlignment="1">
      <alignment horizontal="left" vertical="center"/>
    </xf>
    <xf numFmtId="3" fontId="3" fillId="0" borderId="0" xfId="0" applyNumberFormat="1" applyFont="1" applyAlignment="1">
      <alignment horizontal="right" vertical="center"/>
    </xf>
    <xf numFmtId="3" fontId="3" fillId="0" borderId="0" xfId="0" applyNumberFormat="1" applyFont="1" applyAlignment="1">
      <alignment vertical="center"/>
    </xf>
    <xf numFmtId="17" fontId="4" fillId="0" borderId="0" xfId="0" applyNumberFormat="1" applyFont="1" applyAlignment="1">
      <alignment horizontal="left" vertical="center"/>
    </xf>
    <xf numFmtId="17" fontId="3" fillId="0" borderId="0" xfId="0" applyNumberFormat="1" applyFont="1" applyAlignment="1">
      <alignment horizontal="left" vertical="center"/>
    </xf>
    <xf numFmtId="165" fontId="4" fillId="0" borderId="0" xfId="0" applyNumberFormat="1" applyFont="1" applyAlignment="1">
      <alignment vertical="center"/>
    </xf>
    <xf numFmtId="3" fontId="3" fillId="0" borderId="0" xfId="0" applyNumberFormat="1" applyFont="1" applyAlignment="1">
      <alignment horizontal="centerContinuous" vertical="center"/>
    </xf>
    <xf numFmtId="15" fontId="3" fillId="0" borderId="0" xfId="0" applyNumberFormat="1" applyFont="1" applyAlignment="1">
      <alignment vertical="center"/>
    </xf>
    <xf numFmtId="166" fontId="4" fillId="0" borderId="0" xfId="0" applyNumberFormat="1" applyFont="1" applyAlignment="1">
      <alignment vertical="center"/>
    </xf>
    <xf numFmtId="166" fontId="3" fillId="0" borderId="50" xfId="0" applyNumberFormat="1" applyFont="1" applyBorder="1" applyAlignment="1">
      <alignment vertical="center"/>
    </xf>
    <xf numFmtId="0" fontId="32" fillId="0" borderId="0" xfId="0" applyFont="1" applyAlignment="1">
      <alignment vertical="center"/>
    </xf>
    <xf numFmtId="168" fontId="2" fillId="0" borderId="0" xfId="0" applyNumberFormat="1" applyFont="1" applyAlignment="1">
      <alignment vertical="center" wrapText="1"/>
    </xf>
    <xf numFmtId="15" fontId="2" fillId="0" borderId="0" xfId="0" applyNumberFormat="1" applyFont="1" applyAlignment="1">
      <alignment horizontal="center" vertical="center"/>
    </xf>
    <xf numFmtId="0" fontId="22" fillId="0" borderId="0" xfId="0" applyFont="1" applyAlignment="1">
      <alignment horizontal="center" vertical="center"/>
    </xf>
    <xf numFmtId="0" fontId="22" fillId="0" borderId="0" xfId="0" applyFont="1" applyAlignment="1">
      <alignment horizontal="left" vertical="center"/>
    </xf>
    <xf numFmtId="49" fontId="2" fillId="0" borderId="0" xfId="0" applyNumberFormat="1" applyFont="1" applyAlignment="1">
      <alignment vertical="center"/>
    </xf>
    <xf numFmtId="49" fontId="2" fillId="0" borderId="0" xfId="0" applyNumberFormat="1" applyFont="1" applyAlignment="1">
      <alignment horizontal="centerContinuous" vertical="center"/>
    </xf>
    <xf numFmtId="166" fontId="2" fillId="0" borderId="0" xfId="0" quotePrefix="1" applyNumberFormat="1" applyFont="1" applyAlignment="1">
      <alignment horizontal="centerContinuous" vertical="center"/>
    </xf>
    <xf numFmtId="49" fontId="3" fillId="0" borderId="17" xfId="0" applyNumberFormat="1" applyFont="1" applyBorder="1" applyAlignment="1">
      <alignment vertical="center"/>
    </xf>
    <xf numFmtId="0" fontId="3" fillId="0" borderId="10" xfId="0" applyFont="1" applyBorder="1" applyAlignment="1">
      <alignment vertical="center"/>
    </xf>
    <xf numFmtId="0" fontId="3" fillId="0" borderId="9" xfId="0" quotePrefix="1" applyFont="1" applyBorder="1" applyAlignment="1">
      <alignment horizontal="center" vertical="center"/>
    </xf>
    <xf numFmtId="166" fontId="3" fillId="0" borderId="9" xfId="0" quotePrefix="1" applyNumberFormat="1" applyFont="1" applyBorder="1" applyAlignment="1">
      <alignment horizontal="center" vertical="center"/>
    </xf>
    <xf numFmtId="0" fontId="3" fillId="0" borderId="11" xfId="0" applyFont="1" applyBorder="1" applyAlignment="1">
      <alignment vertical="center"/>
    </xf>
    <xf numFmtId="49" fontId="3" fillId="0" borderId="19" xfId="0" applyNumberFormat="1" applyFont="1" applyBorder="1" applyAlignment="1">
      <alignment horizontal="center" vertical="center"/>
    </xf>
    <xf numFmtId="0" fontId="2" fillId="0" borderId="13" xfId="0" applyFont="1" applyBorder="1" applyAlignment="1">
      <alignment horizontal="center" vertical="center"/>
    </xf>
    <xf numFmtId="49" fontId="3" fillId="0" borderId="64" xfId="0" applyNumberFormat="1" applyFont="1" applyBorder="1" applyAlignment="1">
      <alignment horizontal="center" vertical="center"/>
    </xf>
    <xf numFmtId="0" fontId="3" fillId="0" borderId="65" xfId="0" applyFont="1" applyBorder="1" applyAlignment="1">
      <alignment horizontal="center" vertical="center"/>
    </xf>
    <xf numFmtId="49" fontId="2" fillId="0" borderId="19" xfId="0" applyNumberFormat="1" applyFont="1" applyBorder="1" applyAlignment="1">
      <alignment vertical="center"/>
    </xf>
    <xf numFmtId="0" fontId="13" fillId="0" borderId="0" xfId="0" applyFont="1" applyAlignment="1">
      <alignment vertical="center"/>
    </xf>
    <xf numFmtId="38" fontId="3" fillId="0" borderId="13" xfId="0" applyNumberFormat="1" applyFont="1" applyBorder="1" applyAlignment="1">
      <alignment vertical="center"/>
    </xf>
    <xf numFmtId="0" fontId="2" fillId="0" borderId="19" xfId="0" applyFont="1" applyBorder="1" applyAlignment="1">
      <alignment horizontal="center" vertical="center"/>
    </xf>
    <xf numFmtId="38" fontId="2" fillId="0" borderId="13" xfId="0" applyNumberFormat="1" applyFont="1" applyBorder="1" applyAlignment="1">
      <alignment horizontal="center" vertical="center"/>
    </xf>
    <xf numFmtId="49" fontId="2" fillId="0" borderId="63" xfId="0" applyNumberFormat="1" applyFont="1" applyBorder="1" applyAlignment="1">
      <alignment vertical="center"/>
    </xf>
    <xf numFmtId="49" fontId="2" fillId="0" borderId="19" xfId="0" applyNumberFormat="1" applyFont="1" applyBorder="1" applyAlignment="1">
      <alignment horizontal="center" vertical="center"/>
    </xf>
    <xf numFmtId="49" fontId="2" fillId="0" borderId="63" xfId="0" applyNumberFormat="1" applyFont="1" applyBorder="1" applyAlignment="1">
      <alignment horizontal="center" vertical="center"/>
    </xf>
    <xf numFmtId="49" fontId="2" fillId="0" borderId="12" xfId="0" applyNumberFormat="1" applyFont="1" applyBorder="1" applyAlignment="1">
      <alignment horizontal="center" vertical="center"/>
    </xf>
    <xf numFmtId="0" fontId="2" fillId="0" borderId="13" xfId="0" applyFont="1" applyBorder="1" applyAlignment="1">
      <alignment vertical="center"/>
    </xf>
    <xf numFmtId="49" fontId="8" fillId="0" borderId="12" xfId="0" applyNumberFormat="1" applyFont="1" applyBorder="1" applyAlignment="1">
      <alignment vertical="center"/>
    </xf>
    <xf numFmtId="0" fontId="3" fillId="0" borderId="12" xfId="0" applyFont="1" applyBorder="1" applyAlignment="1">
      <alignment horizontal="left" vertical="center"/>
    </xf>
    <xf numFmtId="49" fontId="2" fillId="0" borderId="66" xfId="0" applyNumberFormat="1" applyFont="1" applyBorder="1" applyAlignment="1">
      <alignment horizontal="center" vertical="center"/>
    </xf>
    <xf numFmtId="49" fontId="2" fillId="0" borderId="0" xfId="0" applyNumberFormat="1" applyFont="1" applyAlignment="1">
      <alignment horizontal="center" vertical="center"/>
    </xf>
    <xf numFmtId="37" fontId="3" fillId="0" borderId="0" xfId="0" applyNumberFormat="1" applyFont="1" applyAlignment="1">
      <alignment horizontal="center" vertical="center"/>
    </xf>
    <xf numFmtId="37" fontId="3" fillId="0" borderId="17" xfId="0" applyNumberFormat="1" applyFont="1" applyBorder="1" applyAlignment="1">
      <alignment horizontal="center" vertical="center"/>
    </xf>
    <xf numFmtId="37" fontId="3" fillId="0" borderId="10" xfId="0" applyNumberFormat="1" applyFont="1" applyBorder="1" applyAlignment="1">
      <alignment vertical="center"/>
    </xf>
    <xf numFmtId="37" fontId="3" fillId="0" borderId="9" xfId="0" quotePrefix="1" applyNumberFormat="1" applyFont="1" applyBorder="1" applyAlignment="1">
      <alignment horizontal="center" vertical="center"/>
    </xf>
    <xf numFmtId="37" fontId="3" fillId="0" borderId="10" xfId="0" quotePrefix="1" applyNumberFormat="1" applyFont="1" applyBorder="1" applyAlignment="1">
      <alignment horizontal="center" vertical="center"/>
    </xf>
    <xf numFmtId="37" fontId="3" fillId="0" borderId="11" xfId="0" quotePrefix="1" applyNumberFormat="1" applyFont="1" applyBorder="1" applyAlignment="1">
      <alignment horizontal="center" vertical="center"/>
    </xf>
    <xf numFmtId="37" fontId="3" fillId="0" borderId="19" xfId="0" applyNumberFormat="1" applyFont="1" applyBorder="1" applyAlignment="1">
      <alignment horizontal="center" vertical="center"/>
    </xf>
    <xf numFmtId="37" fontId="3" fillId="0" borderId="13" xfId="0" quotePrefix="1" applyNumberFormat="1" applyFont="1" applyBorder="1" applyAlignment="1">
      <alignment horizontal="center" vertical="center"/>
    </xf>
    <xf numFmtId="37" fontId="3" fillId="0" borderId="63" xfId="0" applyNumberFormat="1" applyFont="1" applyBorder="1" applyAlignment="1">
      <alignment horizontal="center" vertical="center"/>
    </xf>
    <xf numFmtId="37" fontId="3" fillId="0" borderId="49" xfId="0" applyNumberFormat="1" applyFont="1" applyBorder="1" applyAlignment="1">
      <alignment horizontal="center" vertical="center"/>
    </xf>
    <xf numFmtId="37" fontId="2" fillId="0" borderId="19" xfId="0" applyNumberFormat="1" applyFont="1" applyBorder="1" applyAlignment="1">
      <alignment horizontal="center" vertical="center"/>
    </xf>
    <xf numFmtId="37" fontId="13" fillId="0" borderId="0" xfId="0" applyNumberFormat="1" applyFont="1" applyAlignment="1">
      <alignment vertical="center"/>
    </xf>
    <xf numFmtId="37" fontId="2" fillId="0" borderId="0" xfId="0" applyNumberFormat="1" applyFont="1" applyAlignment="1">
      <alignment horizontal="left" vertical="center"/>
    </xf>
    <xf numFmtId="39" fontId="2" fillId="0" borderId="0" xfId="0" applyNumberFormat="1" applyFont="1" applyAlignment="1">
      <alignment vertical="center"/>
    </xf>
    <xf numFmtId="174" fontId="2" fillId="0" borderId="19" xfId="0" applyNumberFormat="1" applyFont="1" applyBorder="1" applyAlignment="1">
      <alignment horizontal="center" vertical="center"/>
    </xf>
    <xf numFmtId="37" fontId="2" fillId="0" borderId="13" xfId="0" applyNumberFormat="1" applyFont="1" applyBorder="1" applyAlignment="1">
      <alignment vertical="center"/>
    </xf>
    <xf numFmtId="37" fontId="2" fillId="0" borderId="13" xfId="0" applyNumberFormat="1" applyFont="1" applyBorder="1" applyAlignment="1">
      <alignment horizontal="center" vertical="center"/>
    </xf>
    <xf numFmtId="37" fontId="2" fillId="0" borderId="63" xfId="0" applyNumberFormat="1" applyFont="1" applyBorder="1" applyAlignment="1">
      <alignment vertical="center"/>
    </xf>
    <xf numFmtId="37" fontId="2" fillId="0" borderId="12" xfId="0" applyNumberFormat="1" applyFont="1" applyBorder="1" applyAlignment="1">
      <alignment vertical="center"/>
    </xf>
    <xf numFmtId="37" fontId="8" fillId="0" borderId="12" xfId="0" applyNumberFormat="1" applyFont="1" applyBorder="1" applyAlignment="1">
      <alignment horizontal="left" vertical="center"/>
    </xf>
    <xf numFmtId="0" fontId="6" fillId="0" borderId="12" xfId="0" applyFont="1" applyBorder="1" applyAlignment="1">
      <alignment horizontal="center" vertical="center"/>
    </xf>
    <xf numFmtId="37" fontId="2" fillId="0" borderId="66" xfId="0" applyNumberFormat="1" applyFont="1" applyBorder="1" applyAlignment="1">
      <alignment vertical="center"/>
    </xf>
    <xf numFmtId="174" fontId="2" fillId="0" borderId="0" xfId="0" applyNumberFormat="1" applyFont="1" applyAlignment="1">
      <alignment vertical="center"/>
    </xf>
    <xf numFmtId="37" fontId="6" fillId="0" borderId="0" xfId="0" applyNumberFormat="1" applyFont="1" applyAlignment="1">
      <alignment horizontal="center" vertical="center"/>
    </xf>
    <xf numFmtId="37" fontId="3" fillId="0" borderId="0" xfId="0" applyNumberFormat="1" applyFont="1" applyAlignment="1" applyProtection="1">
      <alignment horizontal="center" vertical="center"/>
      <protection locked="0"/>
    </xf>
    <xf numFmtId="5" fontId="12" fillId="0" borderId="0" xfId="0" applyNumberFormat="1" applyFont="1" applyAlignment="1" applyProtection="1">
      <alignment vertical="center"/>
      <protection locked="0"/>
    </xf>
    <xf numFmtId="5" fontId="12" fillId="0" borderId="0" xfId="0" applyNumberFormat="1" applyFont="1" applyAlignment="1" applyProtection="1">
      <alignment horizontal="center" vertical="center"/>
      <protection locked="0"/>
    </xf>
    <xf numFmtId="5" fontId="23" fillId="0" borderId="0" xfId="0" applyNumberFormat="1" applyFont="1" applyAlignment="1">
      <alignment horizontal="center" vertical="center"/>
    </xf>
    <xf numFmtId="0" fontId="23" fillId="0" borderId="0" xfId="0" applyFont="1" applyAlignment="1">
      <alignment vertical="center"/>
    </xf>
    <xf numFmtId="0" fontId="4" fillId="0" borderId="0" xfId="0" applyFont="1" applyAlignment="1">
      <alignment horizontal="center" vertical="center"/>
    </xf>
    <xf numFmtId="165" fontId="22" fillId="0" borderId="0" xfId="0" applyNumberFormat="1" applyFont="1" applyAlignment="1" applyProtection="1">
      <alignment vertical="center"/>
      <protection locked="0"/>
    </xf>
    <xf numFmtId="5" fontId="3" fillId="0" borderId="0" xfId="0" applyNumberFormat="1" applyFont="1" applyAlignment="1">
      <alignment horizontal="center" vertical="center"/>
    </xf>
    <xf numFmtId="183" fontId="3" fillId="0" borderId="4" xfId="0" quotePrefix="1" applyNumberFormat="1" applyFont="1" applyBorder="1" applyAlignment="1">
      <alignment horizontal="center" vertical="center"/>
    </xf>
    <xf numFmtId="0" fontId="2" fillId="0" borderId="51" xfId="0" applyFont="1" applyBorder="1" applyAlignment="1">
      <alignment horizontal="center" vertical="center"/>
    </xf>
    <xf numFmtId="0" fontId="3" fillId="0" borderId="53" xfId="0" applyFont="1" applyBorder="1" applyAlignment="1">
      <alignment vertical="center"/>
    </xf>
    <xf numFmtId="5" fontId="2" fillId="0" borderId="0" xfId="0" applyNumberFormat="1" applyFont="1" applyAlignment="1">
      <alignment horizontal="center" vertical="center" wrapText="1"/>
    </xf>
    <xf numFmtId="166" fontId="3" fillId="0" borderId="4" xfId="0" quotePrefix="1" applyNumberFormat="1" applyFont="1" applyBorder="1" applyAlignment="1">
      <alignment horizontal="centerContinuous" vertical="center"/>
    </xf>
    <xf numFmtId="166" fontId="3" fillId="0" borderId="5" xfId="0" applyNumberFormat="1" applyFont="1" applyBorder="1" applyAlignment="1">
      <alignment horizontal="centerContinuous" vertical="center"/>
    </xf>
    <xf numFmtId="166" fontId="3" fillId="0" borderId="5" xfId="0" quotePrefix="1"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50" xfId="0" applyNumberFormat="1" applyFont="1" applyBorder="1" applyAlignment="1">
      <alignment horizontal="center" vertical="center"/>
    </xf>
    <xf numFmtId="176" fontId="16" fillId="0" borderId="0" xfId="0" applyNumberFormat="1" applyFont="1" applyAlignment="1">
      <alignment vertical="center"/>
    </xf>
    <xf numFmtId="177" fontId="2" fillId="0" borderId="0" xfId="0" applyNumberFormat="1" applyFont="1" applyAlignment="1">
      <alignment vertical="center"/>
    </xf>
    <xf numFmtId="178" fontId="2" fillId="0" borderId="0" xfId="0" applyNumberFormat="1" applyFont="1" applyAlignment="1">
      <alignment vertical="center"/>
    </xf>
    <xf numFmtId="166" fontId="2" fillId="0" borderId="6" xfId="0" applyNumberFormat="1" applyFont="1" applyBorder="1" applyAlignment="1">
      <alignment vertical="center"/>
    </xf>
    <xf numFmtId="43" fontId="16" fillId="0" borderId="0" xfId="0" applyNumberFormat="1" applyFont="1" applyAlignment="1">
      <alignment vertical="center"/>
    </xf>
    <xf numFmtId="0" fontId="2" fillId="0" borderId="5" xfId="0" applyFont="1" applyBorder="1" applyAlignment="1">
      <alignment horizontal="center" vertical="center"/>
    </xf>
    <xf numFmtId="0" fontId="3" fillId="0" borderId="2" xfId="0" quotePrefix="1" applyFont="1" applyBorder="1" applyAlignment="1">
      <alignment horizontal="center" vertical="center"/>
    </xf>
    <xf numFmtId="0" fontId="3" fillId="0" borderId="6" xfId="0" applyFont="1" applyBorder="1" applyAlignment="1">
      <alignment horizontal="left" vertical="center"/>
    </xf>
    <xf numFmtId="0" fontId="2" fillId="0" borderId="6" xfId="0" applyFont="1" applyBorder="1" applyAlignment="1">
      <alignment horizontal="left" vertical="center"/>
    </xf>
    <xf numFmtId="169" fontId="2" fillId="0" borderId="0" xfId="0" applyNumberFormat="1" applyFont="1" applyAlignment="1">
      <alignment horizontal="center" vertical="center"/>
    </xf>
    <xf numFmtId="0" fontId="3" fillId="0" borderId="51" xfId="0" applyFont="1" applyBorder="1" applyAlignment="1">
      <alignment horizontal="center" vertical="center" wrapText="1"/>
    </xf>
    <xf numFmtId="0" fontId="2" fillId="0" borderId="51" xfId="0" applyFont="1" applyBorder="1" applyAlignment="1" applyProtection="1">
      <alignment horizontal="center" vertical="center"/>
      <protection locked="0"/>
    </xf>
    <xf numFmtId="0" fontId="18" fillId="0" borderId="0" xfId="0" applyFont="1" applyAlignment="1">
      <alignment vertical="center"/>
    </xf>
    <xf numFmtId="0" fontId="18" fillId="0" borderId="0" xfId="0" applyFont="1" applyAlignment="1">
      <alignment horizontal="centerContinuous" vertical="center"/>
    </xf>
    <xf numFmtId="0" fontId="18" fillId="0" borderId="51" xfId="0" applyFont="1" applyBorder="1" applyAlignment="1">
      <alignment horizontal="center" vertical="center"/>
    </xf>
    <xf numFmtId="178" fontId="3" fillId="0" borderId="0" xfId="0" applyNumberFormat="1" applyFont="1" applyAlignment="1">
      <alignment vertical="center"/>
    </xf>
    <xf numFmtId="41" fontId="3" fillId="0" borderId="51" xfId="0" applyNumberFormat="1" applyFont="1" applyBorder="1" applyAlignment="1">
      <alignment vertical="center"/>
    </xf>
    <xf numFmtId="5" fontId="25" fillId="0" borderId="0" xfId="0" applyNumberFormat="1" applyFont="1" applyAlignment="1">
      <alignment horizontal="center" vertical="center"/>
    </xf>
    <xf numFmtId="0" fontId="23" fillId="0" borderId="0" xfId="0" applyFont="1" applyAlignment="1">
      <alignment horizontal="center" vertical="center" wrapText="1"/>
    </xf>
    <xf numFmtId="0" fontId="22" fillId="0" borderId="0" xfId="0" applyFont="1" applyAlignment="1">
      <alignment horizontal="right" vertical="center"/>
    </xf>
    <xf numFmtId="0" fontId="22" fillId="0" borderId="0" xfId="0" applyFont="1" applyAlignment="1">
      <alignment horizontal="center" vertical="center" wrapText="1"/>
    </xf>
    <xf numFmtId="6" fontId="3" fillId="0" borderId="0" xfId="0" quotePrefix="1" applyNumberFormat="1" applyFont="1" applyAlignment="1">
      <alignment horizontal="centerContinuous" vertical="center"/>
    </xf>
    <xf numFmtId="179" fontId="2" fillId="0" borderId="0" xfId="0" applyNumberFormat="1" applyFont="1" applyAlignment="1">
      <alignment horizontal="center" vertical="center"/>
    </xf>
    <xf numFmtId="1" fontId="2" fillId="0" borderId="0" xfId="0" applyNumberFormat="1" applyFont="1" applyAlignment="1">
      <alignment vertical="center"/>
    </xf>
    <xf numFmtId="165" fontId="2" fillId="0" borderId="51" xfId="0" applyNumberFormat="1" applyFont="1" applyBorder="1" applyAlignment="1">
      <alignment horizontal="center" vertical="center"/>
    </xf>
    <xf numFmtId="6" fontId="3" fillId="0" borderId="0" xfId="0" quotePrefix="1" applyNumberFormat="1" applyFont="1" applyAlignment="1">
      <alignment horizontal="center" vertical="center"/>
    </xf>
    <xf numFmtId="180" fontId="2" fillId="0" borderId="0" xfId="0" applyNumberFormat="1" applyFont="1" applyAlignment="1">
      <alignment vertical="center"/>
    </xf>
    <xf numFmtId="17" fontId="3" fillId="0" borderId="50" xfId="0" applyNumberFormat="1" applyFont="1" applyBorder="1" applyAlignment="1">
      <alignment horizontal="left" vertical="center"/>
    </xf>
    <xf numFmtId="0" fontId="3" fillId="0" borderId="17"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vertical="center"/>
    </xf>
    <xf numFmtId="0" fontId="3" fillId="0" borderId="9" xfId="0" applyFont="1" applyBorder="1" applyAlignment="1">
      <alignment horizontal="center" vertical="center"/>
    </xf>
    <xf numFmtId="0" fontId="3" fillId="0" borderId="18" xfId="0" applyFont="1" applyBorder="1" applyAlignment="1">
      <alignment horizontal="center" vertical="center"/>
    </xf>
    <xf numFmtId="17" fontId="3" fillId="0" borderId="11" xfId="0" applyNumberFormat="1" applyFont="1" applyBorder="1" applyAlignment="1">
      <alignment horizontal="center" vertical="center"/>
    </xf>
    <xf numFmtId="17" fontId="2" fillId="0" borderId="19" xfId="0" applyNumberFormat="1" applyFont="1" applyBorder="1" applyAlignment="1">
      <alignment vertical="center"/>
    </xf>
    <xf numFmtId="0" fontId="2" fillId="0" borderId="9" xfId="0" applyFont="1" applyBorder="1" applyAlignment="1">
      <alignment vertical="center"/>
    </xf>
    <xf numFmtId="0" fontId="25" fillId="0" borderId="0" xfId="0" applyFont="1" applyAlignment="1">
      <alignment horizontal="center" vertical="center" wrapText="1"/>
    </xf>
    <xf numFmtId="182" fontId="2" fillId="0" borderId="0" xfId="0" applyNumberFormat="1" applyFont="1" applyAlignment="1">
      <alignment horizontal="center" vertical="center" wrapText="1"/>
    </xf>
    <xf numFmtId="1" fontId="3" fillId="0" borderId="0" xfId="0" applyNumberFormat="1" applyFont="1" applyAlignment="1">
      <alignment horizontal="center" vertical="center"/>
    </xf>
    <xf numFmtId="167" fontId="3" fillId="0" borderId="0" xfId="0" applyNumberFormat="1" applyFont="1" applyAlignment="1">
      <alignment vertical="center"/>
    </xf>
    <xf numFmtId="182" fontId="3" fillId="0" borderId="0" xfId="0" applyNumberFormat="1" applyFont="1" applyAlignment="1">
      <alignment horizontal="center" vertical="center" wrapText="1"/>
    </xf>
    <xf numFmtId="182" fontId="3" fillId="0" borderId="0" xfId="0" applyNumberFormat="1" applyFont="1" applyAlignment="1">
      <alignment horizontal="center" vertical="center"/>
    </xf>
    <xf numFmtId="0" fontId="3" fillId="0" borderId="0" xfId="0" applyFont="1" applyAlignment="1">
      <alignment horizontal="center" vertical="center" wrapText="1"/>
    </xf>
    <xf numFmtId="167" fontId="3" fillId="0" borderId="0" xfId="0" applyNumberFormat="1" applyFont="1" applyAlignment="1">
      <alignment horizontal="center" vertical="center"/>
    </xf>
    <xf numFmtId="167" fontId="3" fillId="0" borderId="0" xfId="0" applyNumberFormat="1" applyFont="1" applyAlignment="1">
      <alignment horizontal="right" vertical="center"/>
    </xf>
    <xf numFmtId="0" fontId="3" fillId="0" borderId="0" xfId="0" applyFont="1" applyAlignment="1">
      <alignment horizontal="right" vertical="center"/>
    </xf>
    <xf numFmtId="0" fontId="2" fillId="0" borderId="0" xfId="0" applyFont="1" applyAlignment="1">
      <alignment horizontal="right" vertical="center" wrapText="1"/>
    </xf>
    <xf numFmtId="0" fontId="16"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16" fillId="0" borderId="12" xfId="0" applyFont="1" applyBorder="1" applyAlignment="1">
      <alignment horizontal="left" vertical="center"/>
    </xf>
    <xf numFmtId="0" fontId="16" fillId="0" borderId="12" xfId="0" applyFont="1" applyBorder="1" applyAlignment="1">
      <alignment horizontal="left" vertical="center" wrapText="1"/>
    </xf>
    <xf numFmtId="0" fontId="19" fillId="0" borderId="0" xfId="0" applyFont="1" applyAlignment="1">
      <alignment horizontal="center" vertical="center"/>
    </xf>
    <xf numFmtId="0" fontId="16" fillId="0" borderId="8" xfId="0" applyFont="1" applyBorder="1" applyAlignment="1">
      <alignment vertical="center"/>
    </xf>
    <xf numFmtId="0" fontId="18" fillId="0" borderId="9" xfId="0" applyFont="1" applyBorder="1" applyAlignment="1">
      <alignment horizontal="center" vertical="center"/>
    </xf>
    <xf numFmtId="0" fontId="16" fillId="0" borderId="18" xfId="0" applyFont="1" applyBorder="1" applyAlignment="1">
      <alignment vertical="center"/>
    </xf>
    <xf numFmtId="0" fontId="18" fillId="0" borderId="0" xfId="0" applyFont="1" applyAlignment="1">
      <alignment horizontal="center" vertical="center"/>
    </xf>
    <xf numFmtId="0" fontId="18" fillId="0" borderId="12" xfId="0" applyFont="1" applyBorder="1" applyAlignment="1">
      <alignment horizontal="center" vertical="center"/>
    </xf>
    <xf numFmtId="0" fontId="16" fillId="0" borderId="12" xfId="0" applyFont="1" applyBorder="1" applyAlignment="1">
      <alignment vertical="center"/>
    </xf>
    <xf numFmtId="0" fontId="16" fillId="0" borderId="13" xfId="0" applyFont="1" applyBorder="1" applyAlignment="1">
      <alignment vertical="center"/>
    </xf>
    <xf numFmtId="0" fontId="16" fillId="0" borderId="13" xfId="0" applyFont="1" applyBorder="1" applyAlignment="1">
      <alignment horizontal="center" vertical="center"/>
    </xf>
    <xf numFmtId="184" fontId="16" fillId="0" borderId="0" xfId="0" applyNumberFormat="1" applyFont="1" applyAlignment="1">
      <alignment vertical="center"/>
    </xf>
    <xf numFmtId="169" fontId="16" fillId="0" borderId="0" xfId="0" applyNumberFormat="1" applyFont="1" applyAlignment="1">
      <alignment vertical="center"/>
    </xf>
    <xf numFmtId="0" fontId="8" fillId="0" borderId="0" xfId="0" quotePrefix="1" applyFont="1" applyAlignment="1">
      <alignment horizontal="center" vertical="center"/>
    </xf>
    <xf numFmtId="1" fontId="2" fillId="0" borderId="0" xfId="0" applyNumberFormat="1" applyFont="1" applyAlignment="1">
      <alignment horizontal="center" vertical="center"/>
    </xf>
    <xf numFmtId="185" fontId="16" fillId="0" borderId="0" xfId="0" applyNumberFormat="1" applyFont="1" applyAlignment="1">
      <alignment vertical="center"/>
    </xf>
    <xf numFmtId="8" fontId="16" fillId="0" borderId="0" xfId="0" applyNumberFormat="1" applyFont="1" applyAlignment="1">
      <alignment vertical="center"/>
    </xf>
    <xf numFmtId="184" fontId="16" fillId="0" borderId="0" xfId="0" applyNumberFormat="1" applyFont="1" applyAlignment="1">
      <alignment horizontal="right" vertical="center"/>
    </xf>
    <xf numFmtId="184" fontId="18" fillId="0" borderId="0" xfId="0" quotePrefix="1" applyNumberFormat="1" applyFont="1" applyAlignment="1">
      <alignment horizontal="center" vertical="center"/>
    </xf>
    <xf numFmtId="184" fontId="3" fillId="0" borderId="0" xfId="0" applyNumberFormat="1" applyFont="1" applyAlignment="1">
      <alignment horizontal="right" vertical="center"/>
    </xf>
    <xf numFmtId="184" fontId="18" fillId="0" borderId="0" xfId="0" applyNumberFormat="1" applyFont="1" applyAlignment="1">
      <alignment vertical="center"/>
    </xf>
    <xf numFmtId="10" fontId="18" fillId="0" borderId="0" xfId="0" applyNumberFormat="1" applyFont="1" applyAlignment="1">
      <alignment vertical="center"/>
    </xf>
    <xf numFmtId="184" fontId="18" fillId="0" borderId="0" xfId="0" applyNumberFormat="1" applyFont="1" applyAlignment="1">
      <alignment horizontal="right" vertical="center"/>
    </xf>
    <xf numFmtId="184" fontId="18" fillId="0" borderId="0" xfId="0" applyNumberFormat="1" applyFont="1" applyAlignment="1">
      <alignment horizontal="center" vertical="center"/>
    </xf>
    <xf numFmtId="184" fontId="28" fillId="0" borderId="0" xfId="0" applyNumberFormat="1" applyFont="1" applyAlignment="1">
      <alignment horizontal="center" vertical="center"/>
    </xf>
    <xf numFmtId="0" fontId="28" fillId="0" borderId="0" xfId="0" applyFont="1" applyAlignment="1">
      <alignment horizontal="center" vertical="center"/>
    </xf>
    <xf numFmtId="0" fontId="34" fillId="0" borderId="0" xfId="0" applyFont="1" applyAlignment="1">
      <alignment vertical="center"/>
    </xf>
    <xf numFmtId="186" fontId="29" fillId="0" borderId="0" xfId="0" applyNumberFormat="1" applyFont="1" applyAlignment="1">
      <alignment vertical="center"/>
    </xf>
    <xf numFmtId="0" fontId="34" fillId="0" borderId="0" xfId="0" applyFont="1" applyAlignment="1">
      <alignment horizontal="left" vertical="center"/>
    </xf>
    <xf numFmtId="0" fontId="2" fillId="0" borderId="0" xfId="0" applyFont="1" applyAlignment="1">
      <alignment horizontal="fill" vertical="center"/>
    </xf>
    <xf numFmtId="170" fontId="3" fillId="0" borderId="0" xfId="0" applyNumberFormat="1" applyFont="1" applyAlignment="1">
      <alignment horizontal="center" vertical="center"/>
    </xf>
    <xf numFmtId="0" fontId="3" fillId="0" borderId="8" xfId="0" applyFont="1" applyBorder="1" applyAlignment="1">
      <alignment horizontal="center" vertical="center"/>
    </xf>
    <xf numFmtId="43" fontId="3" fillId="0" borderId="30" xfId="0" applyNumberFormat="1" applyFont="1" applyBorder="1" applyAlignment="1">
      <alignment horizontal="center" vertical="center" wrapText="1"/>
    </xf>
    <xf numFmtId="0" fontId="3" fillId="0" borderId="10"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66" xfId="0" applyFont="1" applyBorder="1" applyAlignment="1">
      <alignment horizontal="center" vertical="center"/>
    </xf>
    <xf numFmtId="39" fontId="3" fillId="0" borderId="62" xfId="0" applyNumberFormat="1" applyFont="1" applyBorder="1" applyAlignment="1">
      <alignment horizontal="center" vertical="center"/>
    </xf>
    <xf numFmtId="39" fontId="3" fillId="0" borderId="62" xfId="0" quotePrefix="1" applyNumberFormat="1" applyFont="1" applyBorder="1" applyAlignment="1">
      <alignment horizontal="center" vertical="center"/>
    </xf>
    <xf numFmtId="0" fontId="3" fillId="0" borderId="12" xfId="0" applyFont="1" applyBorder="1" applyAlignment="1">
      <alignment vertical="center"/>
    </xf>
    <xf numFmtId="0" fontId="2" fillId="0" borderId="12" xfId="0" applyFont="1" applyBorder="1" applyAlignment="1">
      <alignment vertical="center"/>
    </xf>
    <xf numFmtId="0" fontId="2" fillId="0" borderId="12" xfId="0" quotePrefix="1" applyFont="1" applyBorder="1" applyAlignment="1">
      <alignment horizontal="left" vertical="center"/>
    </xf>
    <xf numFmtId="0" fontId="3" fillId="0" borderId="0" xfId="0" quotePrefix="1" applyFont="1" applyAlignment="1">
      <alignment horizontal="left" vertical="center"/>
    </xf>
    <xf numFmtId="0" fontId="2" fillId="0" borderId="12" xfId="0" applyFont="1" applyBorder="1" applyAlignment="1">
      <alignment horizontal="left" vertical="center"/>
    </xf>
    <xf numFmtId="0" fontId="3" fillId="0" borderId="66" xfId="0" applyFont="1" applyBorder="1" applyAlignment="1">
      <alignment vertical="center"/>
    </xf>
    <xf numFmtId="39" fontId="3" fillId="0" borderId="62" xfId="0" applyNumberFormat="1" applyFont="1" applyBorder="1" applyAlignment="1">
      <alignment vertical="center"/>
    </xf>
    <xf numFmtId="39" fontId="3" fillId="0" borderId="70" xfId="0" applyNumberFormat="1" applyFont="1" applyBorder="1" applyAlignment="1">
      <alignment vertical="center"/>
    </xf>
    <xf numFmtId="189" fontId="3" fillId="0" borderId="0" xfId="0" applyNumberFormat="1" applyFont="1" applyAlignment="1">
      <alignment vertical="center"/>
    </xf>
    <xf numFmtId="0" fontId="27" fillId="0" borderId="0" xfId="0" applyFont="1" applyAlignment="1">
      <alignment vertical="center"/>
    </xf>
    <xf numFmtId="0" fontId="8" fillId="0" borderId="51" xfId="0" applyFont="1" applyBorder="1" applyAlignment="1">
      <alignment vertical="center"/>
    </xf>
    <xf numFmtId="0" fontId="8" fillId="0" borderId="3"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left" vertical="center" wrapText="1"/>
    </xf>
    <xf numFmtId="0" fontId="2" fillId="0" borderId="54" xfId="0" applyFont="1" applyBorder="1" applyAlignment="1">
      <alignment vertical="center"/>
    </xf>
    <xf numFmtId="0" fontId="3" fillId="0" borderId="42" xfId="0" applyFont="1" applyBorder="1" applyAlignment="1">
      <alignment horizontal="center" vertical="center"/>
    </xf>
    <xf numFmtId="0" fontId="3" fillId="0" borderId="35" xfId="0" applyFont="1" applyBorder="1" applyAlignment="1">
      <alignment horizontal="center" vertical="center"/>
    </xf>
    <xf numFmtId="0" fontId="3" fillId="0" borderId="73" xfId="0" applyFont="1" applyBorder="1" applyAlignment="1">
      <alignment horizontal="center" vertical="center"/>
    </xf>
    <xf numFmtId="0" fontId="3" fillId="0" borderId="71" xfId="0" applyFont="1" applyBorder="1" applyAlignment="1">
      <alignment horizontal="center" vertical="center"/>
    </xf>
    <xf numFmtId="0" fontId="3" fillId="0" borderId="36" xfId="0" applyFont="1" applyBorder="1" applyAlignment="1">
      <alignment horizontal="center" vertical="center"/>
    </xf>
    <xf numFmtId="0" fontId="3" fillId="0" borderId="74" xfId="0" applyFont="1" applyBorder="1" applyAlignment="1">
      <alignment horizontal="center" vertical="center"/>
    </xf>
    <xf numFmtId="0" fontId="3" fillId="0" borderId="31" xfId="0" applyFont="1" applyBorder="1" applyAlignment="1">
      <alignment horizontal="center" vertical="center"/>
    </xf>
    <xf numFmtId="0" fontId="3" fillId="0" borderId="19"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17" fontId="2" fillId="0" borderId="31" xfId="0" applyNumberFormat="1" applyFont="1" applyBorder="1" applyAlignment="1">
      <alignment horizontal="center" vertical="center"/>
    </xf>
    <xf numFmtId="17" fontId="2" fillId="0" borderId="62" xfId="0" applyNumberFormat="1" applyFont="1" applyBorder="1" applyAlignment="1">
      <alignment horizontal="center" vertical="center"/>
    </xf>
    <xf numFmtId="17" fontId="3" fillId="0" borderId="37" xfId="0" applyNumberFormat="1" applyFont="1" applyBorder="1" applyAlignment="1">
      <alignment horizontal="center" vertical="center"/>
    </xf>
    <xf numFmtId="166" fontId="33" fillId="0" borderId="0" xfId="0" applyNumberFormat="1" applyFont="1" applyAlignment="1">
      <alignment vertical="center"/>
    </xf>
    <xf numFmtId="0" fontId="23" fillId="0" borderId="12" xfId="0" applyFont="1" applyBorder="1" applyAlignment="1">
      <alignment vertical="center"/>
    </xf>
    <xf numFmtId="0" fontId="30" fillId="0" borderId="0" xfId="0" applyFont="1" applyAlignment="1">
      <alignment vertical="center"/>
    </xf>
    <xf numFmtId="0" fontId="23" fillId="0" borderId="13" xfId="0" applyFont="1" applyBorder="1" applyAlignment="1">
      <alignment vertical="center"/>
    </xf>
    <xf numFmtId="0" fontId="2" fillId="0" borderId="66" xfId="0" applyFont="1" applyBorder="1" applyAlignment="1">
      <alignment vertical="center"/>
    </xf>
    <xf numFmtId="10" fontId="2" fillId="0" borderId="13" xfId="0" applyNumberFormat="1" applyFont="1" applyBorder="1" applyAlignment="1">
      <alignment vertical="center"/>
    </xf>
    <xf numFmtId="0" fontId="5" fillId="0" borderId="12" xfId="0" applyFont="1" applyBorder="1" applyAlignment="1">
      <alignment vertical="center"/>
    </xf>
    <xf numFmtId="0" fontId="3" fillId="0" borderId="26" xfId="0" applyFont="1" applyBorder="1" applyAlignment="1">
      <alignment vertical="center"/>
    </xf>
    <xf numFmtId="166" fontId="3" fillId="0" borderId="37" xfId="0" applyNumberFormat="1" applyFont="1" applyBorder="1" applyAlignment="1">
      <alignment horizontal="center" vertical="center"/>
    </xf>
    <xf numFmtId="0" fontId="3" fillId="0" borderId="37" xfId="0" applyFont="1" applyBorder="1" applyAlignment="1">
      <alignment horizontal="center" vertical="center"/>
    </xf>
    <xf numFmtId="0" fontId="3" fillId="0" borderId="40" xfId="0" applyFont="1" applyBorder="1" applyAlignment="1">
      <alignment horizontal="center" vertical="center"/>
    </xf>
    <xf numFmtId="166" fontId="3" fillId="0" borderId="39" xfId="0" applyNumberFormat="1" applyFont="1" applyBorder="1" applyAlignment="1">
      <alignment horizontal="center" vertical="center"/>
    </xf>
    <xf numFmtId="166" fontId="3" fillId="0" borderId="28" xfId="0" applyNumberFormat="1" applyFont="1" applyBorder="1" applyAlignment="1">
      <alignment horizontal="center" vertical="center"/>
    </xf>
    <xf numFmtId="166" fontId="3" fillId="0" borderId="40" xfId="0" applyNumberFormat="1" applyFont="1" applyBorder="1" applyAlignment="1">
      <alignment horizontal="center" vertical="center"/>
    </xf>
    <xf numFmtId="0" fontId="3" fillId="0" borderId="8" xfId="0" applyFont="1" applyBorder="1" applyAlignment="1">
      <alignment vertical="center"/>
    </xf>
    <xf numFmtId="0" fontId="3" fillId="0" borderId="10" xfId="0" applyFont="1" applyBorder="1" applyAlignment="1">
      <alignment horizontal="right" vertical="center"/>
    </xf>
    <xf numFmtId="0" fontId="3" fillId="0" borderId="31" xfId="0" applyFont="1" applyBorder="1" applyAlignment="1">
      <alignment horizontal="center" vertical="center" wrapText="1"/>
    </xf>
    <xf numFmtId="166" fontId="9" fillId="0" borderId="0" xfId="0" applyNumberFormat="1" applyFont="1" applyAlignment="1">
      <alignment vertical="center"/>
    </xf>
    <xf numFmtId="0" fontId="2" fillId="0" borderId="8" xfId="0" applyFont="1" applyBorder="1" applyAlignment="1">
      <alignment vertical="center"/>
    </xf>
    <xf numFmtId="0" fontId="2" fillId="0" borderId="10" xfId="0" applyFont="1" applyBorder="1" applyAlignment="1">
      <alignment vertical="center"/>
    </xf>
    <xf numFmtId="0" fontId="2" fillId="0" borderId="10" xfId="0" applyFont="1" applyBorder="1" applyAlignment="1">
      <alignment horizontal="center" vertical="center"/>
    </xf>
    <xf numFmtId="0" fontId="2" fillId="0" borderId="11" xfId="0" applyFont="1" applyBorder="1" applyAlignment="1">
      <alignment vertical="center"/>
    </xf>
    <xf numFmtId="0" fontId="2" fillId="0" borderId="43" xfId="0" applyFont="1" applyBorder="1" applyAlignment="1">
      <alignment vertical="center"/>
    </xf>
    <xf numFmtId="17" fontId="2" fillId="0" borderId="0" xfId="0" applyNumberFormat="1" applyFont="1" applyAlignment="1">
      <alignment horizontal="center" vertical="center"/>
    </xf>
    <xf numFmtId="0" fontId="3" fillId="0" borderId="45" xfId="0" applyFont="1" applyBorder="1" applyAlignment="1">
      <alignment horizontal="centerContinuous" vertical="center"/>
    </xf>
    <xf numFmtId="165" fontId="22" fillId="0" borderId="0" xfId="0" applyNumberFormat="1" applyFont="1" applyAlignment="1">
      <alignment vertical="center"/>
    </xf>
    <xf numFmtId="3" fontId="2" fillId="0" borderId="5" xfId="0" applyNumberFormat="1" applyFont="1" applyBorder="1" applyAlignment="1">
      <alignment horizontal="center" vertical="center"/>
    </xf>
    <xf numFmtId="165" fontId="2" fillId="0" borderId="50" xfId="0" applyNumberFormat="1" applyFont="1" applyBorder="1" applyAlignment="1">
      <alignment horizontal="center" vertical="center"/>
    </xf>
    <xf numFmtId="0" fontId="2" fillId="0" borderId="75" xfId="0" applyFont="1" applyBorder="1" applyAlignment="1">
      <alignment horizontal="center" vertical="center"/>
    </xf>
    <xf numFmtId="10" fontId="2" fillId="0" borderId="51" xfId="0" applyNumberFormat="1" applyFont="1" applyBorder="1" applyAlignment="1">
      <alignment vertical="center"/>
    </xf>
    <xf numFmtId="43" fontId="2" fillId="0" borderId="75" xfId="0" applyNumberFormat="1" applyFont="1" applyBorder="1" applyAlignment="1">
      <alignment vertical="center"/>
    </xf>
    <xf numFmtId="166" fontId="2" fillId="0" borderId="75" xfId="0" applyNumberFormat="1" applyFont="1" applyBorder="1" applyAlignment="1">
      <alignment vertical="center"/>
    </xf>
    <xf numFmtId="166" fontId="2" fillId="3" borderId="51" xfId="0" applyNumberFormat="1" applyFont="1" applyFill="1" applyBorder="1" applyAlignment="1">
      <alignment vertical="center"/>
    </xf>
    <xf numFmtId="165" fontId="3" fillId="0" borderId="47" xfId="0" applyNumberFormat="1" applyFont="1" applyBorder="1" applyAlignment="1">
      <alignment horizontal="center" vertical="center"/>
    </xf>
    <xf numFmtId="5" fontId="18" fillId="0" borderId="0" xfId="0" quotePrefix="1" applyNumberFormat="1" applyFont="1" applyAlignment="1">
      <alignment horizontal="center" vertical="center"/>
    </xf>
    <xf numFmtId="165" fontId="2" fillId="0" borderId="48" xfId="0" applyNumberFormat="1" applyFont="1" applyBorder="1" applyAlignment="1">
      <alignment horizontal="center" vertical="center"/>
    </xf>
    <xf numFmtId="165" fontId="2" fillId="0" borderId="48" xfId="0" applyNumberFormat="1" applyFont="1" applyBorder="1" applyAlignment="1">
      <alignment vertical="center"/>
    </xf>
    <xf numFmtId="168" fontId="3" fillId="0" borderId="0" xfId="0" applyNumberFormat="1" applyFont="1" applyAlignment="1">
      <alignment horizontal="center" vertical="center"/>
    </xf>
    <xf numFmtId="44" fontId="1" fillId="0" borderId="0" xfId="0" applyNumberFormat="1" applyFont="1" applyAlignment="1">
      <alignment horizontal="center" vertical="center"/>
    </xf>
    <xf numFmtId="168" fontId="2" fillId="0" borderId="0" xfId="0" applyNumberFormat="1" applyFont="1" applyAlignment="1">
      <alignment horizontal="center" vertical="center"/>
    </xf>
    <xf numFmtId="184" fontId="16" fillId="0" borderId="0" xfId="0" applyNumberFormat="1" applyFont="1" applyAlignment="1">
      <alignment horizontal="center" vertical="center"/>
    </xf>
    <xf numFmtId="0" fontId="3" fillId="0" borderId="66" xfId="0" applyFont="1" applyBorder="1" applyAlignment="1">
      <alignment horizontal="center" vertical="center" wrapText="1"/>
    </xf>
    <xf numFmtId="0" fontId="3" fillId="0" borderId="52" xfId="0" applyFont="1" applyBorder="1" applyAlignment="1">
      <alignment horizontal="center" vertical="center" wrapText="1"/>
    </xf>
    <xf numFmtId="5" fontId="3" fillId="0" borderId="8" xfId="0" applyNumberFormat="1" applyFont="1" applyBorder="1" applyAlignment="1">
      <alignment horizontal="center" vertical="center"/>
    </xf>
    <xf numFmtId="5" fontId="2" fillId="0" borderId="12" xfId="0" applyNumberFormat="1" applyFont="1" applyBorder="1" applyAlignment="1">
      <alignment vertical="center"/>
    </xf>
    <xf numFmtId="5" fontId="3" fillId="0" borderId="18" xfId="0" applyNumberFormat="1" applyFont="1" applyBorder="1" applyAlignment="1">
      <alignment horizontal="center" vertical="center"/>
    </xf>
    <xf numFmtId="5" fontId="3" fillId="0" borderId="75" xfId="0" applyNumberFormat="1" applyFont="1" applyBorder="1" applyAlignment="1">
      <alignment horizontal="center" vertical="center"/>
    </xf>
    <xf numFmtId="168" fontId="2" fillId="0" borderId="51" xfId="0" applyNumberFormat="1" applyFont="1" applyBorder="1" applyAlignment="1">
      <alignment horizontal="center" vertical="center"/>
    </xf>
    <xf numFmtId="3" fontId="2" fillId="0" borderId="51" xfId="0" applyNumberFormat="1" applyFont="1" applyBorder="1" applyAlignment="1">
      <alignment horizontal="center" vertical="center"/>
    </xf>
    <xf numFmtId="43" fontId="2" fillId="0" borderId="51" xfId="0" applyNumberFormat="1" applyFont="1" applyBorder="1" applyAlignment="1">
      <alignment horizontal="center" vertical="center"/>
    </xf>
    <xf numFmtId="165" fontId="2" fillId="0" borderId="75" xfId="0" applyNumberFormat="1" applyFont="1" applyBorder="1" applyAlignment="1">
      <alignment vertical="center"/>
    </xf>
    <xf numFmtId="166" fontId="3" fillId="0" borderId="3" xfId="0" applyNumberFormat="1" applyFont="1" applyBorder="1" applyAlignment="1">
      <alignment vertical="center"/>
    </xf>
    <xf numFmtId="0" fontId="2" fillId="0" borderId="3" xfId="0" applyFont="1" applyBorder="1" applyAlignment="1">
      <alignment horizontal="left" vertical="center"/>
    </xf>
    <xf numFmtId="0" fontId="3" fillId="0" borderId="63" xfId="0" applyFont="1" applyBorder="1" applyAlignment="1">
      <alignment horizontal="center" vertical="center"/>
    </xf>
    <xf numFmtId="0" fontId="3" fillId="0" borderId="49" xfId="0" applyFont="1" applyBorder="1" applyAlignment="1">
      <alignment horizontal="center" vertical="center"/>
    </xf>
    <xf numFmtId="0" fontId="2" fillId="0" borderId="52" xfId="0" applyFont="1" applyBorder="1" applyAlignment="1">
      <alignment vertical="center"/>
    </xf>
    <xf numFmtId="175" fontId="3" fillId="0" borderId="70" xfId="0" applyNumberFormat="1" applyFont="1" applyBorder="1" applyAlignment="1">
      <alignment horizontal="center" vertical="center" wrapText="1"/>
    </xf>
    <xf numFmtId="166" fontId="3" fillId="0" borderId="54" xfId="0" applyNumberFormat="1" applyFont="1" applyBorder="1" applyAlignment="1">
      <alignment vertical="center"/>
    </xf>
    <xf numFmtId="167" fontId="2" fillId="0" borderId="0" xfId="0" applyNumberFormat="1" applyFont="1" applyAlignment="1">
      <alignment vertical="center"/>
    </xf>
    <xf numFmtId="0" fontId="2" fillId="0" borderId="0" xfId="0" quotePrefix="1" applyFont="1" applyAlignment="1">
      <alignment horizontal="center" vertical="center" wrapText="1"/>
    </xf>
    <xf numFmtId="0" fontId="8" fillId="0" borderId="0" xfId="0" quotePrefix="1" applyFont="1" applyAlignment="1">
      <alignment horizontal="center"/>
    </xf>
    <xf numFmtId="0" fontId="2" fillId="0" borderId="0" xfId="0" applyFont="1"/>
    <xf numFmtId="184" fontId="3" fillId="0" borderId="0" xfId="0" applyNumberFormat="1" applyFont="1" applyAlignment="1">
      <alignment horizontal="center"/>
    </xf>
    <xf numFmtId="184" fontId="2" fillId="0" borderId="0" xfId="0" applyNumberFormat="1" applyFont="1"/>
    <xf numFmtId="184" fontId="2" fillId="0" borderId="0" xfId="0" applyNumberFormat="1" applyFont="1" applyAlignment="1">
      <alignment horizontal="left" indent="1"/>
    </xf>
    <xf numFmtId="0" fontId="2" fillId="0" borderId="0" xfId="0" applyFont="1" applyAlignment="1">
      <alignment horizontal="left" indent="1"/>
    </xf>
    <xf numFmtId="0" fontId="8" fillId="0" borderId="0" xfId="0" applyFont="1" applyAlignment="1">
      <alignment horizontal="center"/>
    </xf>
    <xf numFmtId="0" fontId="3" fillId="0" borderId="0" xfId="0" applyFont="1" applyAlignment="1">
      <alignment horizontal="center"/>
    </xf>
    <xf numFmtId="184" fontId="8" fillId="0" borderId="0" xfId="0" applyNumberFormat="1" applyFont="1" applyAlignment="1">
      <alignment horizontal="center"/>
    </xf>
    <xf numFmtId="0" fontId="2" fillId="0" borderId="0" xfId="0" applyFont="1" applyAlignment="1">
      <alignment wrapText="1"/>
    </xf>
    <xf numFmtId="190" fontId="2" fillId="0" borderId="0" xfId="0" applyNumberFormat="1" applyFont="1" applyAlignment="1">
      <alignment horizontal="left" indent="1"/>
    </xf>
    <xf numFmtId="3" fontId="2" fillId="0" borderId="0" xfId="0" applyNumberFormat="1" applyFont="1"/>
    <xf numFmtId="10" fontId="2" fillId="0" borderId="0" xfId="0" applyNumberFormat="1" applyFont="1"/>
    <xf numFmtId="184" fontId="16" fillId="0" borderId="0" xfId="0" applyNumberFormat="1" applyFont="1" applyAlignment="1">
      <alignment horizontal="right"/>
    </xf>
    <xf numFmtId="0" fontId="16" fillId="0" borderId="0" xfId="0" applyFont="1"/>
    <xf numFmtId="184" fontId="2" fillId="0" borderId="0" xfId="0" applyNumberFormat="1" applyFont="1" applyAlignment="1">
      <alignment horizontal="center"/>
    </xf>
    <xf numFmtId="0" fontId="2" fillId="0" borderId="0" xfId="0" quotePrefix="1" applyFont="1" applyAlignment="1">
      <alignment horizontal="left" indent="1"/>
    </xf>
    <xf numFmtId="0" fontId="16" fillId="3" borderId="0" xfId="0" applyFont="1" applyFill="1" applyAlignment="1">
      <alignment wrapText="1"/>
    </xf>
    <xf numFmtId="3" fontId="16" fillId="0" borderId="0" xfId="0" applyNumberFormat="1" applyFont="1" applyAlignment="1">
      <alignment wrapText="1"/>
    </xf>
    <xf numFmtId="0" fontId="36" fillId="0" borderId="0" xfId="0" applyFont="1" applyAlignment="1">
      <alignment vertical="center"/>
    </xf>
    <xf numFmtId="0" fontId="25" fillId="0" borderId="0" xfId="0" applyFont="1" applyAlignment="1">
      <alignment horizontal="center" vertical="center"/>
    </xf>
    <xf numFmtId="14" fontId="2" fillId="0" borderId="0" xfId="0" applyNumberFormat="1" applyFont="1" applyAlignment="1">
      <alignment vertical="center"/>
    </xf>
    <xf numFmtId="3" fontId="2" fillId="0" borderId="0" xfId="0" applyNumberFormat="1" applyFont="1" applyAlignment="1">
      <alignment horizontal="centerContinuous" vertical="center"/>
    </xf>
    <xf numFmtId="0" fontId="2" fillId="0" borderId="0" xfId="0" applyFont="1" applyAlignment="1">
      <alignment horizontal="center"/>
    </xf>
    <xf numFmtId="10" fontId="2" fillId="0" borderId="16" xfId="0" applyNumberFormat="1" applyFont="1" applyBorder="1" applyAlignment="1">
      <alignment vertical="center"/>
    </xf>
    <xf numFmtId="166" fontId="2" fillId="0" borderId="53" xfId="0" applyNumberFormat="1" applyFont="1" applyBorder="1" applyAlignment="1">
      <alignment horizontal="center" vertical="center"/>
    </xf>
    <xf numFmtId="17" fontId="2" fillId="0" borderId="3" xfId="0" quotePrefix="1" applyNumberFormat="1" applyFont="1" applyBorder="1" applyAlignment="1">
      <alignment horizontal="left" vertical="center"/>
    </xf>
    <xf numFmtId="17" fontId="2" fillId="0" borderId="51" xfId="0" quotePrefix="1" applyNumberFormat="1" applyFont="1" applyBorder="1" applyAlignment="1">
      <alignment horizontal="left" vertical="center"/>
    </xf>
    <xf numFmtId="37" fontId="2" fillId="0" borderId="12" xfId="0" applyNumberFormat="1" applyFont="1" applyBorder="1" applyAlignment="1">
      <alignment horizontal="center"/>
    </xf>
    <xf numFmtId="174" fontId="2" fillId="0" borderId="12" xfId="0" applyNumberFormat="1" applyFont="1" applyBorder="1" applyAlignment="1">
      <alignment horizontal="center" wrapText="1"/>
    </xf>
    <xf numFmtId="37" fontId="2" fillId="0" borderId="12" xfId="0" applyNumberFormat="1" applyFont="1" applyBorder="1" applyAlignment="1">
      <alignment horizontal="center" vertical="center"/>
    </xf>
    <xf numFmtId="37" fontId="2" fillId="0" borderId="70" xfId="0" applyNumberFormat="1" applyFont="1" applyBorder="1" applyAlignment="1">
      <alignment vertical="center"/>
    </xf>
    <xf numFmtId="0" fontId="18" fillId="0" borderId="51" xfId="0" applyFont="1" applyBorder="1" applyAlignment="1">
      <alignment horizontal="center" vertical="center" wrapText="1"/>
    </xf>
    <xf numFmtId="10" fontId="16" fillId="3" borderId="51" xfId="0" applyNumberFormat="1" applyFont="1" applyFill="1" applyBorder="1" applyAlignment="1">
      <alignment horizontal="center" vertical="center"/>
    </xf>
    <xf numFmtId="181" fontId="3" fillId="0" borderId="49" xfId="0" quotePrefix="1" applyNumberFormat="1" applyFont="1" applyBorder="1" applyAlignment="1">
      <alignment horizontal="center" vertical="center"/>
    </xf>
    <xf numFmtId="181" fontId="3" fillId="0" borderId="52" xfId="0" quotePrefix="1" applyNumberFormat="1" applyFont="1" applyBorder="1" applyAlignment="1">
      <alignment horizontal="center" vertical="center"/>
    </xf>
    <xf numFmtId="43" fontId="2" fillId="0" borderId="13" xfId="0" applyNumberFormat="1" applyFont="1" applyBorder="1" applyAlignment="1">
      <alignment vertical="center"/>
    </xf>
    <xf numFmtId="43" fontId="2" fillId="0" borderId="19" xfId="0" applyNumberFormat="1" applyFont="1" applyBorder="1" applyAlignment="1">
      <alignment horizontal="center" vertical="center"/>
    </xf>
    <xf numFmtId="43" fontId="2" fillId="0" borderId="63" xfId="0" applyNumberFormat="1" applyFont="1" applyBorder="1" applyAlignment="1">
      <alignment horizontal="center" vertical="center"/>
    </xf>
    <xf numFmtId="43" fontId="2" fillId="0" borderId="49" xfId="0" applyNumberFormat="1" applyFont="1" applyBorder="1" applyAlignment="1">
      <alignment horizontal="left" vertical="center"/>
    </xf>
    <xf numFmtId="43" fontId="2" fillId="0" borderId="17" xfId="0" applyNumberFormat="1" applyFont="1" applyBorder="1" applyAlignment="1">
      <alignment horizontal="center" vertical="center"/>
    </xf>
    <xf numFmtId="43" fontId="2" fillId="0" borderId="19" xfId="0" quotePrefix="1" applyNumberFormat="1" applyFont="1" applyBorder="1" applyAlignment="1">
      <alignment horizontal="center" vertical="center"/>
    </xf>
    <xf numFmtId="43" fontId="2" fillId="0" borderId="3" xfId="0" applyNumberFormat="1" applyFont="1" applyBorder="1" applyAlignment="1">
      <alignment horizontal="left" vertical="center"/>
    </xf>
    <xf numFmtId="43" fontId="2" fillId="0" borderId="0" xfId="0" applyNumberFormat="1" applyFont="1" applyAlignment="1">
      <alignment horizontal="left" vertical="center"/>
    </xf>
    <xf numFmtId="43" fontId="2" fillId="0" borderId="5" xfId="0" applyNumberFormat="1" applyFont="1" applyBorder="1" applyAlignment="1">
      <alignment horizontal="left" vertical="center"/>
    </xf>
    <xf numFmtId="166" fontId="3" fillId="0" borderId="75" xfId="0" applyNumberFormat="1" applyFont="1" applyBorder="1" applyAlignment="1">
      <alignment vertical="center"/>
    </xf>
    <xf numFmtId="43" fontId="2" fillId="0" borderId="63" xfId="0" quotePrefix="1" applyNumberFormat="1" applyFont="1" applyBorder="1" applyAlignment="1">
      <alignment horizontal="center" vertical="center"/>
    </xf>
    <xf numFmtId="49" fontId="2" fillId="0" borderId="49" xfId="0" applyNumberFormat="1" applyFont="1" applyBorder="1" applyAlignment="1">
      <alignment horizontal="center" vertical="center"/>
    </xf>
    <xf numFmtId="43" fontId="2" fillId="0" borderId="12" xfId="0" quotePrefix="1" applyNumberFormat="1" applyFont="1" applyBorder="1" applyAlignment="1">
      <alignment horizontal="center" vertical="center"/>
    </xf>
    <xf numFmtId="43" fontId="2" fillId="0" borderId="12" xfId="0" applyNumberFormat="1" applyFont="1" applyBorder="1" applyAlignment="1">
      <alignment horizontal="center" vertical="center"/>
    </xf>
    <xf numFmtId="43" fontId="2" fillId="0" borderId="12" xfId="0" applyNumberFormat="1" applyFont="1" applyBorder="1" applyAlignment="1">
      <alignment vertical="center"/>
    </xf>
    <xf numFmtId="43" fontId="3" fillId="0" borderId="5" xfId="0" applyNumberFormat="1" applyFont="1" applyBorder="1" applyAlignment="1">
      <alignment vertical="center"/>
    </xf>
    <xf numFmtId="43" fontId="2" fillId="0" borderId="5" xfId="0" applyNumberFormat="1" applyFont="1" applyBorder="1" applyAlignment="1">
      <alignment vertical="center"/>
    </xf>
    <xf numFmtId="43" fontId="2" fillId="0" borderId="19" xfId="0" applyNumberFormat="1" applyFont="1" applyBorder="1" applyAlignment="1">
      <alignment vertical="center"/>
    </xf>
    <xf numFmtId="43" fontId="2" fillId="0" borderId="0" xfId="0" applyNumberFormat="1" applyFont="1" applyAlignment="1">
      <alignment horizontal="center" vertical="center"/>
    </xf>
    <xf numFmtId="166" fontId="3" fillId="0" borderId="13" xfId="0" applyNumberFormat="1" applyFont="1" applyBorder="1" applyAlignment="1">
      <alignment vertical="center"/>
    </xf>
    <xf numFmtId="43" fontId="3" fillId="0" borderId="19" xfId="0" applyNumberFormat="1" applyFont="1" applyBorder="1" applyAlignment="1">
      <alignment horizontal="left" vertical="center"/>
    </xf>
    <xf numFmtId="0" fontId="16" fillId="0" borderId="66" xfId="0" applyFont="1" applyBorder="1" applyAlignment="1">
      <alignment horizontal="left" vertical="center"/>
    </xf>
    <xf numFmtId="0" fontId="16" fillId="0" borderId="66" xfId="0" applyFont="1" applyBorder="1" applyAlignment="1">
      <alignment vertical="center"/>
    </xf>
    <xf numFmtId="0" fontId="18" fillId="0" borderId="66" xfId="0" applyFont="1" applyBorder="1" applyAlignment="1">
      <alignment horizontal="center" vertical="center"/>
    </xf>
    <xf numFmtId="0" fontId="18" fillId="0" borderId="49" xfId="0" applyFont="1" applyBorder="1" applyAlignment="1">
      <alignment horizontal="center" vertical="center"/>
    </xf>
    <xf numFmtId="0" fontId="18" fillId="0" borderId="52" xfId="0" applyFont="1" applyBorder="1" applyAlignment="1">
      <alignment horizontal="center" vertical="center"/>
    </xf>
    <xf numFmtId="0" fontId="18" fillId="0" borderId="75" xfId="0" applyFont="1" applyBorder="1" applyAlignment="1">
      <alignment vertical="center"/>
    </xf>
    <xf numFmtId="0" fontId="16" fillId="0" borderId="49" xfId="0" applyFont="1" applyBorder="1" applyAlignment="1">
      <alignment vertical="center"/>
    </xf>
    <xf numFmtId="0" fontId="16" fillId="0" borderId="70" xfId="0" applyFont="1" applyBorder="1" applyAlignment="1">
      <alignment vertical="center"/>
    </xf>
    <xf numFmtId="37" fontId="3" fillId="0" borderId="50" xfId="0" applyNumberFormat="1" applyFont="1" applyBorder="1" applyAlignment="1">
      <alignment horizontal="center" vertical="center"/>
    </xf>
    <xf numFmtId="37" fontId="3" fillId="0" borderId="70" xfId="0" applyNumberFormat="1" applyFont="1" applyBorder="1" applyAlignment="1">
      <alignment horizontal="center" vertical="center"/>
    </xf>
    <xf numFmtId="37" fontId="4" fillId="0" borderId="50" xfId="0" applyNumberFormat="1" applyFont="1" applyBorder="1" applyAlignment="1">
      <alignment horizontal="left" vertical="center"/>
    </xf>
    <xf numFmtId="37" fontId="2" fillId="0" borderId="50" xfId="0" applyNumberFormat="1" applyFont="1" applyBorder="1" applyAlignment="1">
      <alignment horizontal="center" vertical="center"/>
    </xf>
    <xf numFmtId="37" fontId="2" fillId="0" borderId="50" xfId="0" applyNumberFormat="1" applyFont="1" applyBorder="1" applyAlignment="1">
      <alignment vertical="center"/>
    </xf>
    <xf numFmtId="165" fontId="2" fillId="0" borderId="31" xfId="0" applyNumberFormat="1" applyFont="1" applyBorder="1" applyAlignment="1">
      <alignment vertical="center"/>
    </xf>
    <xf numFmtId="165" fontId="2" fillId="3" borderId="50" xfId="0" applyNumberFormat="1" applyFont="1" applyFill="1" applyBorder="1" applyAlignment="1">
      <alignment vertical="center"/>
    </xf>
    <xf numFmtId="166" fontId="2" fillId="3" borderId="50" xfId="0" applyNumberFormat="1" applyFont="1" applyFill="1" applyBorder="1" applyAlignment="1">
      <alignment vertical="center"/>
    </xf>
    <xf numFmtId="17" fontId="2" fillId="0" borderId="30" xfId="0" quotePrefix="1" applyNumberFormat="1" applyFont="1" applyBorder="1" applyAlignment="1">
      <alignment horizontal="center" vertical="center"/>
    </xf>
    <xf numFmtId="17" fontId="2" fillId="0" borderId="31" xfId="0" quotePrefix="1" applyNumberFormat="1" applyFont="1" applyBorder="1" applyAlignment="1">
      <alignment horizontal="center" vertical="center"/>
    </xf>
    <xf numFmtId="17" fontId="2" fillId="0" borderId="62" xfId="0" quotePrefix="1" applyNumberFormat="1" applyFont="1" applyBorder="1" applyAlignment="1">
      <alignment horizontal="center" vertical="center"/>
    </xf>
    <xf numFmtId="165" fontId="2" fillId="3" borderId="78" xfId="0" applyNumberFormat="1" applyFont="1" applyFill="1" applyBorder="1" applyAlignment="1">
      <alignment vertical="center"/>
    </xf>
    <xf numFmtId="191" fontId="16" fillId="0" borderId="0" xfId="0" applyNumberFormat="1" applyFont="1" applyAlignment="1">
      <alignment vertical="center"/>
    </xf>
    <xf numFmtId="192" fontId="2" fillId="0" borderId="0" xfId="0" applyNumberFormat="1" applyFont="1" applyAlignment="1">
      <alignment vertical="center"/>
    </xf>
    <xf numFmtId="166" fontId="2" fillId="0" borderId="1" xfId="0" applyNumberFormat="1" applyFont="1" applyBorder="1" applyAlignment="1">
      <alignment vertical="center"/>
    </xf>
    <xf numFmtId="187" fontId="2" fillId="0" borderId="0" xfId="0" applyNumberFormat="1" applyFont="1" applyAlignment="1">
      <alignment vertical="center"/>
    </xf>
    <xf numFmtId="186" fontId="2" fillId="0" borderId="0" xfId="0" applyNumberFormat="1" applyFont="1" applyAlignment="1">
      <alignment vertical="center"/>
    </xf>
    <xf numFmtId="0" fontId="37" fillId="0" borderId="0" xfId="0" applyFont="1"/>
    <xf numFmtId="0" fontId="38" fillId="0" borderId="0" xfId="0" applyFont="1" applyAlignment="1">
      <alignment horizontal="centerContinuous"/>
    </xf>
    <xf numFmtId="0" fontId="39" fillId="0" borderId="0" xfId="0" applyFont="1" applyAlignment="1">
      <alignment horizontal="centerContinuous"/>
    </xf>
    <xf numFmtId="0" fontId="39" fillId="0" borderId="0" xfId="0" applyFont="1"/>
    <xf numFmtId="166" fontId="41" fillId="0" borderId="0" xfId="0" applyNumberFormat="1" applyFont="1"/>
    <xf numFmtId="166" fontId="38" fillId="0" borderId="0" xfId="0" applyNumberFormat="1" applyFont="1"/>
    <xf numFmtId="166" fontId="41" fillId="0" borderId="0" xfId="0" quotePrefix="1" applyNumberFormat="1" applyFont="1" applyAlignment="1">
      <alignment horizontal="right"/>
    </xf>
    <xf numFmtId="166" fontId="41" fillId="0" borderId="0" xfId="0" applyNumberFormat="1" applyFont="1" applyAlignment="1">
      <alignment horizontal="center"/>
    </xf>
    <xf numFmtId="166" fontId="42" fillId="0" borderId="0" xfId="0" quotePrefix="1" applyNumberFormat="1" applyFont="1" applyAlignment="1">
      <alignment horizontal="center"/>
    </xf>
    <xf numFmtId="166" fontId="41" fillId="0" borderId="77" xfId="0" applyNumberFormat="1" applyFont="1" applyBorder="1" applyAlignment="1">
      <alignment horizontal="center" wrapText="1"/>
    </xf>
    <xf numFmtId="166" fontId="41" fillId="0" borderId="77" xfId="0" applyNumberFormat="1" applyFont="1" applyBorder="1" applyAlignment="1">
      <alignment horizontal="center"/>
    </xf>
    <xf numFmtId="166" fontId="41" fillId="0" borderId="37" xfId="0" applyNumberFormat="1" applyFont="1" applyBorder="1" applyAlignment="1">
      <alignment horizontal="center" wrapText="1"/>
    </xf>
    <xf numFmtId="0" fontId="41" fillId="0" borderId="0" xfId="0" applyFont="1" applyAlignment="1">
      <alignment horizontal="center"/>
    </xf>
    <xf numFmtId="0" fontId="43" fillId="0" borderId="0" xfId="0" applyFont="1"/>
    <xf numFmtId="166" fontId="34" fillId="0" borderId="0" xfId="0" applyNumberFormat="1" applyFont="1"/>
    <xf numFmtId="41" fontId="41" fillId="0" borderId="0" xfId="0" applyNumberFormat="1" applyFont="1"/>
    <xf numFmtId="166" fontId="44" fillId="0" borderId="0" xfId="0" applyNumberFormat="1" applyFont="1"/>
    <xf numFmtId="166" fontId="41" fillId="0" borderId="0" xfId="0" applyNumberFormat="1" applyFont="1" applyAlignment="1">
      <alignment horizontal="left" indent="1"/>
    </xf>
    <xf numFmtId="166" fontId="41" fillId="0" borderId="0" xfId="0" applyNumberFormat="1" applyFont="1" applyAlignment="1">
      <alignment horizontal="right"/>
    </xf>
    <xf numFmtId="183" fontId="41" fillId="0" borderId="0" xfId="0" applyNumberFormat="1" applyFont="1" applyAlignment="1">
      <alignment horizontal="right"/>
    </xf>
    <xf numFmtId="0" fontId="40" fillId="0" borderId="0" xfId="0" quotePrefix="1" applyFont="1" applyAlignment="1">
      <alignment vertical="center"/>
    </xf>
    <xf numFmtId="166" fontId="38" fillId="0" borderId="0" xfId="0" quotePrefix="1" applyNumberFormat="1" applyFont="1" applyAlignment="1">
      <alignment horizontal="center"/>
    </xf>
    <xf numFmtId="166" fontId="38" fillId="0" borderId="0" xfId="0" applyNumberFormat="1" applyFont="1" applyAlignment="1">
      <alignment horizontal="center"/>
    </xf>
    <xf numFmtId="166" fontId="38" fillId="0" borderId="0" xfId="0" applyNumberFormat="1" applyFont="1" applyAlignment="1">
      <alignment horizontal="right"/>
    </xf>
    <xf numFmtId="166" fontId="41" fillId="0" borderId="0" xfId="0" applyNumberFormat="1" applyFont="1" applyAlignment="1">
      <alignment horizontal="center" wrapText="1"/>
    </xf>
    <xf numFmtId="0" fontId="41" fillId="0" borderId="0" xfId="0" applyFont="1"/>
    <xf numFmtId="166" fontId="11" fillId="0" borderId="79" xfId="0" applyNumberFormat="1" applyFont="1" applyBorder="1" applyAlignment="1">
      <alignment horizontal="center" vertical="center" wrapText="1"/>
    </xf>
    <xf numFmtId="166" fontId="11" fillId="0" borderId="1" xfId="0" applyNumberFormat="1" applyFont="1" applyBorder="1"/>
    <xf numFmtId="166" fontId="40" fillId="0" borderId="0" xfId="0" applyNumberFormat="1" applyFont="1" applyAlignment="1">
      <alignment horizontal="center" vertical="center" wrapText="1"/>
    </xf>
    <xf numFmtId="166" fontId="11" fillId="0" borderId="0" xfId="0" applyNumberFormat="1" applyFont="1"/>
    <xf numFmtId="166" fontId="41" fillId="3" borderId="0" xfId="0" applyNumberFormat="1" applyFont="1" applyFill="1"/>
    <xf numFmtId="183" fontId="41" fillId="3" borderId="0" xfId="0" quotePrefix="1" applyNumberFormat="1" applyFont="1" applyFill="1" applyAlignment="1">
      <alignment horizontal="center"/>
    </xf>
    <xf numFmtId="166" fontId="41" fillId="3" borderId="0" xfId="0" quotePrefix="1" applyNumberFormat="1" applyFont="1" applyFill="1" applyAlignment="1">
      <alignment horizontal="center"/>
    </xf>
    <xf numFmtId="10" fontId="41" fillId="3" borderId="0" xfId="0" applyNumberFormat="1" applyFont="1" applyFill="1" applyAlignment="1">
      <alignment horizontal="center"/>
    </xf>
    <xf numFmtId="166" fontId="11" fillId="3" borderId="0" xfId="0" applyNumberFormat="1" applyFont="1" applyFill="1"/>
    <xf numFmtId="0" fontId="38" fillId="3" borderId="0" xfId="0" applyFont="1" applyFill="1" applyAlignment="1">
      <alignment horizontal="centerContinuous"/>
    </xf>
    <xf numFmtId="0" fontId="39" fillId="3" borderId="0" xfId="0" applyFont="1" applyFill="1" applyAlignment="1">
      <alignment horizontal="centerContinuous"/>
    </xf>
    <xf numFmtId="166" fontId="11" fillId="0" borderId="80" xfId="0" applyNumberFormat="1" applyFont="1" applyBorder="1"/>
    <xf numFmtId="0" fontId="40" fillId="0" borderId="0" xfId="0" quotePrefix="1" applyFont="1" applyAlignment="1">
      <alignment horizontal="center" vertical="center"/>
    </xf>
    <xf numFmtId="0" fontId="2" fillId="0" borderId="0" xfId="0" applyFont="1" applyAlignment="1">
      <alignment horizontal="left" vertical="center" wrapText="1"/>
    </xf>
    <xf numFmtId="166" fontId="40" fillId="0" borderId="0" xfId="0" quotePrefix="1" applyNumberFormat="1" applyFont="1" applyAlignment="1">
      <alignment horizontal="centerContinuous"/>
    </xf>
    <xf numFmtId="0" fontId="45" fillId="0" borderId="0" xfId="0" applyFont="1" applyAlignment="1">
      <alignment vertical="center"/>
    </xf>
    <xf numFmtId="6" fontId="2" fillId="0" borderId="0" xfId="0" applyNumberFormat="1" applyFont="1" applyAlignment="1">
      <alignment horizontal="left" vertical="center"/>
    </xf>
    <xf numFmtId="164" fontId="3" fillId="0" borderId="78" xfId="0" applyNumberFormat="1" applyFont="1" applyBorder="1" applyAlignment="1">
      <alignment horizontal="center" vertical="center"/>
    </xf>
    <xf numFmtId="0" fontId="11" fillId="0" borderId="0" xfId="0" applyFont="1" applyAlignment="1">
      <alignment horizontal="center"/>
    </xf>
    <xf numFmtId="166" fontId="11" fillId="0" borderId="0" xfId="0" applyNumberFormat="1" applyFont="1" applyAlignment="1">
      <alignment horizontal="center"/>
    </xf>
    <xf numFmtId="0" fontId="11" fillId="0" borderId="0" xfId="0" applyFont="1"/>
    <xf numFmtId="41" fontId="11" fillId="0" borderId="79" xfId="0" applyNumberFormat="1" applyFont="1" applyBorder="1"/>
    <xf numFmtId="43" fontId="11" fillId="0" borderId="1" xfId="0" applyNumberFormat="1" applyFont="1" applyBorder="1"/>
    <xf numFmtId="41" fontId="11" fillId="0" borderId="0" xfId="0" applyNumberFormat="1" applyFont="1"/>
    <xf numFmtId="166" fontId="46" fillId="0" borderId="0" xfId="0" applyNumberFormat="1" applyFont="1"/>
    <xf numFmtId="0" fontId="46" fillId="0" borderId="0" xfId="0" applyFont="1"/>
    <xf numFmtId="0" fontId="11" fillId="0" borderId="0" xfId="0" quotePrefix="1" applyFont="1" applyAlignment="1">
      <alignment horizontal="center"/>
    </xf>
    <xf numFmtId="0" fontId="11" fillId="0" borderId="79" xfId="0" applyFont="1" applyBorder="1"/>
    <xf numFmtId="166" fontId="11" fillId="0" borderId="81" xfId="0" applyNumberFormat="1" applyFont="1" applyBorder="1"/>
    <xf numFmtId="166" fontId="26" fillId="0" borderId="0" xfId="0" applyNumberFormat="1" applyFont="1"/>
    <xf numFmtId="166" fontId="47" fillId="0" borderId="0" xfId="0" applyNumberFormat="1" applyFont="1"/>
    <xf numFmtId="166" fontId="11" fillId="0" borderId="0" xfId="0" applyNumberFormat="1" applyFont="1" applyAlignment="1">
      <alignment horizontal="left" indent="1"/>
    </xf>
    <xf numFmtId="0" fontId="47" fillId="0" borderId="0" xfId="0" applyFont="1"/>
    <xf numFmtId="166" fontId="11" fillId="0" borderId="0" xfId="0" applyNumberFormat="1" applyFont="1" applyAlignment="1">
      <alignment horizontal="center" wrapText="1"/>
    </xf>
    <xf numFmtId="166" fontId="40" fillId="0" borderId="0" xfId="0" applyNumberFormat="1" applyFont="1" applyAlignment="1">
      <alignment horizontal="center"/>
    </xf>
    <xf numFmtId="166" fontId="40" fillId="0" borderId="0" xfId="0" applyNumberFormat="1" applyFont="1" applyAlignment="1">
      <alignment horizontal="center" wrapText="1"/>
    </xf>
    <xf numFmtId="166" fontId="11" fillId="3" borderId="78" xfId="0" applyNumberFormat="1" applyFont="1" applyFill="1" applyBorder="1"/>
    <xf numFmtId="166" fontId="11" fillId="0" borderId="78" xfId="0" applyNumberFormat="1" applyFont="1" applyBorder="1"/>
    <xf numFmtId="166" fontId="36" fillId="0" borderId="0" xfId="0" applyNumberFormat="1" applyFont="1"/>
    <xf numFmtId="0" fontId="36" fillId="0" borderId="0" xfId="0" applyFont="1"/>
    <xf numFmtId="166" fontId="11" fillId="0" borderId="0" xfId="0" applyNumberFormat="1" applyFont="1" applyAlignment="1">
      <alignment horizontal="right"/>
    </xf>
    <xf numFmtId="166" fontId="11" fillId="0" borderId="0" xfId="0" quotePrefix="1" applyNumberFormat="1" applyFont="1" applyAlignment="1">
      <alignment horizontal="right"/>
    </xf>
    <xf numFmtId="0" fontId="49" fillId="0" borderId="0" xfId="0" applyFont="1"/>
    <xf numFmtId="0" fontId="40" fillId="0" borderId="0" xfId="0" applyFont="1" applyAlignment="1">
      <alignment horizontal="centerContinuous"/>
    </xf>
    <xf numFmtId="0" fontId="50" fillId="0" borderId="0" xfId="0" applyFont="1" applyAlignment="1">
      <alignment horizontal="centerContinuous"/>
    </xf>
    <xf numFmtId="0" fontId="50" fillId="0" borderId="0" xfId="0" applyFont="1"/>
    <xf numFmtId="166" fontId="40" fillId="0" borderId="0" xfId="0" quotePrefix="1" applyNumberFormat="1" applyFont="1"/>
    <xf numFmtId="166" fontId="40" fillId="3" borderId="0" xfId="0" quotePrefix="1" applyNumberFormat="1" applyFont="1" applyFill="1" applyAlignment="1">
      <alignment horizontal="centerContinuous"/>
    </xf>
    <xf numFmtId="166" fontId="40" fillId="3" borderId="0" xfId="0" applyNumberFormat="1" applyFont="1" applyFill="1" applyAlignment="1">
      <alignment horizontal="centerContinuous"/>
    </xf>
    <xf numFmtId="166" fontId="51" fillId="3" borderId="0" xfId="0" applyNumberFormat="1" applyFont="1" applyFill="1" applyAlignment="1">
      <alignment horizontal="centerContinuous"/>
    </xf>
    <xf numFmtId="166" fontId="52" fillId="0" borderId="0" xfId="0" applyNumberFormat="1" applyFont="1"/>
    <xf numFmtId="166" fontId="40" fillId="0" borderId="0" xfId="0" applyNumberFormat="1" applyFont="1"/>
    <xf numFmtId="0" fontId="40" fillId="0" borderId="0" xfId="0" applyFont="1"/>
    <xf numFmtId="183" fontId="11" fillId="3" borderId="0" xfId="0" quotePrefix="1" applyNumberFormat="1" applyFont="1" applyFill="1" applyAlignment="1">
      <alignment horizontal="center"/>
    </xf>
    <xf numFmtId="166" fontId="50" fillId="0" borderId="0" xfId="0" applyNumberFormat="1" applyFont="1"/>
    <xf numFmtId="166" fontId="53" fillId="0" borderId="0" xfId="0" quotePrefix="1" applyNumberFormat="1" applyFont="1" applyAlignment="1">
      <alignment horizontal="center"/>
    </xf>
    <xf numFmtId="166" fontId="50" fillId="0" borderId="0" xfId="0" applyNumberFormat="1" applyFont="1" applyAlignment="1">
      <alignment horizontal="center"/>
    </xf>
    <xf numFmtId="166" fontId="36" fillId="0" borderId="0" xfId="0" applyNumberFormat="1" applyFont="1" applyAlignment="1">
      <alignment horizontal="center"/>
    </xf>
    <xf numFmtId="166" fontId="11" fillId="0" borderId="37" xfId="0" applyNumberFormat="1" applyFont="1" applyBorder="1" applyAlignment="1">
      <alignment horizontal="center" vertical="center"/>
    </xf>
    <xf numFmtId="166" fontId="11" fillId="0" borderId="37" xfId="0" quotePrefix="1" applyNumberFormat="1" applyFont="1" applyBorder="1" applyAlignment="1">
      <alignment horizontal="center" vertical="center"/>
    </xf>
    <xf numFmtId="166" fontId="11" fillId="0" borderId="77" xfId="0" applyNumberFormat="1" applyFont="1" applyBorder="1" applyAlignment="1">
      <alignment horizontal="center" wrapText="1"/>
    </xf>
    <xf numFmtId="166" fontId="11" fillId="0" borderId="37" xfId="0" applyNumberFormat="1" applyFont="1" applyBorder="1" applyAlignment="1">
      <alignment horizontal="center" wrapText="1"/>
    </xf>
    <xf numFmtId="166" fontId="11" fillId="0" borderId="37" xfId="0" applyNumberFormat="1" applyFont="1" applyBorder="1" applyAlignment="1">
      <alignment horizontal="center" vertical="center" wrapText="1"/>
    </xf>
    <xf numFmtId="166" fontId="11" fillId="0" borderId="76" xfId="0" applyNumberFormat="1" applyFont="1" applyBorder="1" applyAlignment="1">
      <alignment horizontal="center" vertical="center" wrapText="1"/>
    </xf>
    <xf numFmtId="166" fontId="36" fillId="0" borderId="0" xfId="0" applyNumberFormat="1" applyFont="1" applyAlignment="1">
      <alignment horizontal="center" vertical="center" wrapText="1"/>
    </xf>
    <xf numFmtId="0" fontId="40" fillId="0" borderId="0" xfId="0" applyFont="1" applyAlignment="1">
      <alignment horizontal="center"/>
    </xf>
    <xf numFmtId="183" fontId="11" fillId="0" borderId="0" xfId="0" applyNumberFormat="1" applyFont="1" applyAlignment="1">
      <alignment horizontal="right"/>
    </xf>
    <xf numFmtId="166" fontId="40" fillId="0" borderId="0" xfId="0" applyNumberFormat="1" applyFont="1" applyAlignment="1">
      <alignment horizontal="centerContinuous"/>
    </xf>
    <xf numFmtId="166" fontId="51" fillId="0" borderId="0" xfId="0" applyNumberFormat="1" applyFont="1" applyAlignment="1">
      <alignment horizontal="centerContinuous"/>
    </xf>
    <xf numFmtId="166" fontId="11" fillId="0" borderId="0" xfId="0" quotePrefix="1" applyNumberFormat="1" applyFont="1"/>
    <xf numFmtId="166" fontId="11" fillId="0" borderId="79" xfId="0" applyNumberFormat="1" applyFont="1" applyBorder="1"/>
    <xf numFmtId="41" fontId="11" fillId="3" borderId="78" xfId="0" applyNumberFormat="1" applyFont="1" applyFill="1" applyBorder="1"/>
    <xf numFmtId="166" fontId="11" fillId="0" borderId="0" xfId="0" quotePrefix="1" applyNumberFormat="1" applyFont="1" applyAlignment="1">
      <alignment horizontal="left"/>
    </xf>
    <xf numFmtId="0" fontId="40" fillId="3" borderId="0" xfId="0" applyFont="1" applyFill="1" applyAlignment="1">
      <alignment horizontal="centerContinuous"/>
    </xf>
    <xf numFmtId="0" fontId="50" fillId="3" borderId="0" xfId="0" applyFont="1" applyFill="1" applyAlignment="1">
      <alignment horizontal="centerContinuous"/>
    </xf>
    <xf numFmtId="166" fontId="51" fillId="0" borderId="0" xfId="0" applyNumberFormat="1" applyFont="1"/>
    <xf numFmtId="166" fontId="11" fillId="0" borderId="0" xfId="0" quotePrefix="1" applyNumberFormat="1" applyFont="1" applyAlignment="1">
      <alignment horizontal="center"/>
    </xf>
    <xf numFmtId="166" fontId="11" fillId="3" borderId="0" xfId="0" quotePrefix="1" applyNumberFormat="1" applyFont="1" applyFill="1" applyAlignment="1">
      <alignment horizontal="center"/>
    </xf>
    <xf numFmtId="10" fontId="11" fillId="3" borderId="0" xfId="0" applyNumberFormat="1" applyFont="1" applyFill="1" applyAlignment="1">
      <alignment horizontal="center"/>
    </xf>
    <xf numFmtId="166" fontId="11" fillId="0" borderId="37" xfId="0" quotePrefix="1" applyNumberFormat="1" applyFont="1" applyBorder="1" applyAlignment="1">
      <alignment horizontal="center"/>
    </xf>
    <xf numFmtId="166" fontId="11" fillId="0" borderId="77" xfId="0" quotePrefix="1" applyNumberFormat="1" applyFont="1" applyBorder="1" applyAlignment="1">
      <alignment horizontal="center"/>
    </xf>
    <xf numFmtId="41" fontId="11" fillId="3" borderId="0" xfId="0" applyNumberFormat="1" applyFont="1" applyFill="1"/>
    <xf numFmtId="43" fontId="11" fillId="3" borderId="78" xfId="0" applyNumberFormat="1" applyFont="1" applyFill="1" applyBorder="1"/>
    <xf numFmtId="43" fontId="11" fillId="0" borderId="78" xfId="0" applyNumberFormat="1" applyFont="1" applyBorder="1"/>
    <xf numFmtId="166" fontId="54" fillId="0" borderId="37" xfId="0" quotePrefix="1" applyNumberFormat="1" applyFont="1" applyBorder="1" applyAlignment="1">
      <alignment horizontal="center" vertical="center" wrapText="1"/>
    </xf>
    <xf numFmtId="166" fontId="54" fillId="0" borderId="37" xfId="0" quotePrefix="1" applyNumberFormat="1" applyFont="1" applyBorder="1" applyAlignment="1">
      <alignment horizontal="center" vertical="center"/>
    </xf>
    <xf numFmtId="166" fontId="11" fillId="0" borderId="77" xfId="0" applyNumberFormat="1" applyFont="1" applyBorder="1" applyAlignment="1">
      <alignment horizontal="center"/>
    </xf>
    <xf numFmtId="0" fontId="11" fillId="0" borderId="0" xfId="0" applyFont="1" applyAlignment="1">
      <alignment horizontal="center" vertical="center" wrapText="1"/>
    </xf>
    <xf numFmtId="171" fontId="36" fillId="0" borderId="0" xfId="0" applyNumberFormat="1" applyFont="1"/>
    <xf numFmtId="176" fontId="36" fillId="0" borderId="0" xfId="0" applyNumberFormat="1" applyFont="1"/>
    <xf numFmtId="166" fontId="41" fillId="0" borderId="62" xfId="0" applyNumberFormat="1" applyFont="1" applyBorder="1" applyAlignment="1">
      <alignment horizontal="center"/>
    </xf>
    <xf numFmtId="166" fontId="41" fillId="0" borderId="37" xfId="0" quotePrefix="1" applyNumberFormat="1" applyFont="1" applyBorder="1" applyAlignment="1">
      <alignment horizontal="center"/>
    </xf>
    <xf numFmtId="166" fontId="41" fillId="0" borderId="77" xfId="0" quotePrefix="1" applyNumberFormat="1" applyFont="1" applyBorder="1" applyAlignment="1">
      <alignment horizontal="center"/>
    </xf>
    <xf numFmtId="166" fontId="41" fillId="0" borderId="37" xfId="0" applyNumberFormat="1" applyFont="1" applyBorder="1" applyAlignment="1">
      <alignment horizontal="center" vertical="center" wrapText="1"/>
    </xf>
    <xf numFmtId="166" fontId="11" fillId="0" borderId="37" xfId="0" quotePrefix="1" applyNumberFormat="1" applyFont="1" applyBorder="1" applyAlignment="1">
      <alignment horizontal="center" vertical="center" wrapText="1"/>
    </xf>
    <xf numFmtId="166" fontId="11" fillId="0" borderId="0" xfId="0" applyNumberFormat="1" applyFont="1" applyAlignment="1">
      <alignment horizontal="left"/>
    </xf>
    <xf numFmtId="165" fontId="22" fillId="0" borderId="0" xfId="0" applyNumberFormat="1" applyFont="1" applyAlignment="1">
      <alignment horizontal="center" vertical="center"/>
    </xf>
    <xf numFmtId="193" fontId="2" fillId="0" borderId="0" xfId="0" applyNumberFormat="1" applyFont="1" applyAlignment="1">
      <alignment vertical="center"/>
    </xf>
    <xf numFmtId="165" fontId="23" fillId="0" borderId="0" xfId="0" applyNumberFormat="1" applyFont="1" applyAlignment="1">
      <alignment horizontal="center" vertical="center"/>
    </xf>
    <xf numFmtId="0" fontId="25" fillId="0" borderId="0" xfId="0" applyFont="1" applyAlignment="1">
      <alignment horizontal="left" vertical="center"/>
    </xf>
    <xf numFmtId="0" fontId="25" fillId="0" borderId="0" xfId="0" applyFont="1" applyAlignment="1">
      <alignment horizontal="center"/>
    </xf>
    <xf numFmtId="49" fontId="11" fillId="0" borderId="0" xfId="0" applyNumberFormat="1" applyFont="1" applyAlignment="1">
      <alignment horizontal="left" indent="1"/>
    </xf>
    <xf numFmtId="166" fontId="11" fillId="0" borderId="78" xfId="0" applyNumberFormat="1" applyFont="1" applyBorder="1" applyAlignment="1">
      <alignment horizontal="center"/>
    </xf>
    <xf numFmtId="0" fontId="11" fillId="0" borderId="78" xfId="0" applyFont="1" applyBorder="1" applyAlignment="1">
      <alignment horizontal="center"/>
    </xf>
    <xf numFmtId="0" fontId="11" fillId="0" borderId="78" xfId="0" applyFont="1" applyBorder="1" applyAlignment="1">
      <alignment horizontal="center" wrapText="1"/>
    </xf>
    <xf numFmtId="0" fontId="40" fillId="0" borderId="0" xfId="0" applyFont="1" applyAlignment="1">
      <alignment horizontal="right"/>
    </xf>
    <xf numFmtId="10" fontId="11" fillId="5" borderId="0" xfId="0" applyNumberFormat="1" applyFont="1" applyFill="1"/>
    <xf numFmtId="10" fontId="11" fillId="0" borderId="0" xfId="0" applyNumberFormat="1" applyFont="1"/>
    <xf numFmtId="178" fontId="11" fillId="0" borderId="0" xfId="0" applyNumberFormat="1" applyFont="1"/>
    <xf numFmtId="167" fontId="11" fillId="0" borderId="0" xfId="0" applyNumberFormat="1" applyFont="1"/>
    <xf numFmtId="10" fontId="57" fillId="0" borderId="78" xfId="0" applyNumberFormat="1" applyFont="1" applyBorder="1"/>
    <xf numFmtId="167" fontId="57" fillId="0" borderId="0" xfId="0" applyNumberFormat="1" applyFont="1"/>
    <xf numFmtId="178" fontId="57" fillId="0" borderId="0" xfId="0" applyNumberFormat="1" applyFont="1"/>
    <xf numFmtId="0" fontId="6" fillId="0" borderId="0" xfId="3" quotePrefix="1" applyFont="1" applyAlignment="1">
      <alignment horizontal="center" vertical="center"/>
    </xf>
    <xf numFmtId="0" fontId="2" fillId="0" borderId="0" xfId="3" applyFont="1" applyAlignment="1">
      <alignment vertical="center"/>
    </xf>
    <xf numFmtId="49" fontId="2" fillId="0" borderId="50" xfId="4" applyNumberFormat="1" applyFont="1" applyBorder="1" applyAlignment="1">
      <alignment horizontal="center" vertical="center"/>
    </xf>
    <xf numFmtId="0" fontId="2" fillId="0" borderId="3" xfId="4" applyNumberFormat="1" applyFont="1" applyFill="1" applyBorder="1" applyAlignment="1">
      <alignment horizontal="left" vertical="center"/>
    </xf>
    <xf numFmtId="0" fontId="16" fillId="0" borderId="19" xfId="0" applyFont="1" applyBorder="1" applyAlignment="1">
      <alignment horizontal="left" vertical="center"/>
    </xf>
    <xf numFmtId="166" fontId="16" fillId="0" borderId="13" xfId="0" applyNumberFormat="1" applyFont="1" applyBorder="1" applyAlignment="1">
      <alignment vertical="center"/>
    </xf>
    <xf numFmtId="0" fontId="18" fillId="0" borderId="50" xfId="0" applyFont="1" applyBorder="1" applyAlignment="1">
      <alignment horizontal="center" vertical="center"/>
    </xf>
    <xf numFmtId="165" fontId="2" fillId="0" borderId="50" xfId="1" applyNumberFormat="1" applyFont="1" applyFill="1" applyBorder="1" applyAlignment="1">
      <alignment vertical="center"/>
    </xf>
    <xf numFmtId="10" fontId="16" fillId="0" borderId="50" xfId="0" applyNumberFormat="1" applyFont="1" applyBorder="1" applyAlignment="1">
      <alignment vertical="center"/>
    </xf>
    <xf numFmtId="165" fontId="16" fillId="0" borderId="50" xfId="1" applyNumberFormat="1" applyFont="1" applyBorder="1" applyAlignment="1">
      <alignment vertical="center"/>
    </xf>
    <xf numFmtId="6" fontId="16" fillId="0" borderId="50" xfId="0" applyNumberFormat="1" applyFont="1" applyBorder="1" applyAlignment="1">
      <alignment vertical="center"/>
    </xf>
    <xf numFmtId="10" fontId="16" fillId="0" borderId="51" xfId="2" applyNumberFormat="1" applyFont="1" applyBorder="1" applyAlignment="1">
      <alignment vertical="center"/>
    </xf>
    <xf numFmtId="10" fontId="16" fillId="0" borderId="50" xfId="2" applyNumberFormat="1" applyFont="1" applyBorder="1" applyAlignment="1">
      <alignment vertical="center"/>
    </xf>
    <xf numFmtId="165" fontId="16" fillId="0" borderId="55" xfId="1" applyNumberFormat="1" applyFont="1" applyBorder="1" applyAlignment="1">
      <alignment vertical="center"/>
    </xf>
    <xf numFmtId="0" fontId="2" fillId="0" borderId="0" xfId="6" applyFont="1" applyAlignment="1">
      <alignment vertical="center"/>
    </xf>
    <xf numFmtId="0" fontId="2" fillId="0" borderId="0" xfId="6" applyFont="1" applyAlignment="1">
      <alignment horizontal="center" vertical="center"/>
    </xf>
    <xf numFmtId="0" fontId="2" fillId="0" borderId="0" xfId="6" applyFont="1" applyAlignment="1">
      <alignment horizontal="left" vertical="center"/>
    </xf>
    <xf numFmtId="0" fontId="2" fillId="0" borderId="0" xfId="6" quotePrefix="1" applyFont="1" applyAlignment="1">
      <alignment vertical="center"/>
    </xf>
    <xf numFmtId="166" fontId="2" fillId="2" borderId="78" xfId="0" applyNumberFormat="1" applyFont="1" applyFill="1" applyBorder="1" applyAlignment="1">
      <alignment horizontal="right" vertical="center"/>
    </xf>
    <xf numFmtId="0" fontId="8" fillId="0" borderId="0" xfId="6" applyFont="1" applyAlignment="1">
      <alignment horizontal="left" vertical="center"/>
    </xf>
    <xf numFmtId="165" fontId="2" fillId="2" borderId="78" xfId="0" applyNumberFormat="1" applyFont="1" applyFill="1" applyBorder="1" applyAlignment="1">
      <alignment horizontal="right" vertical="center"/>
    </xf>
    <xf numFmtId="0" fontId="8" fillId="0" borderId="0" xfId="6" applyFont="1" applyAlignment="1">
      <alignment vertical="center"/>
    </xf>
    <xf numFmtId="0" fontId="6" fillId="0" borderId="0" xfId="6" quotePrefix="1" applyFont="1" applyAlignment="1">
      <alignment horizontal="center" vertical="center"/>
    </xf>
    <xf numFmtId="44" fontId="2" fillId="2" borderId="0" xfId="1" applyFont="1" applyFill="1" applyBorder="1" applyAlignment="1" applyProtection="1">
      <alignment horizontal="center" vertical="center"/>
    </xf>
    <xf numFmtId="166" fontId="16" fillId="2" borderId="0" xfId="5" applyNumberFormat="1" applyFont="1" applyFill="1" applyAlignment="1">
      <alignment vertical="center"/>
    </xf>
    <xf numFmtId="0" fontId="2" fillId="0" borderId="78" xfId="0" applyFont="1" applyBorder="1" applyAlignment="1">
      <alignment horizontal="center" vertical="center"/>
    </xf>
    <xf numFmtId="15" fontId="2" fillId="0" borderId="78" xfId="0" applyNumberFormat="1" applyFont="1" applyBorder="1" applyAlignment="1">
      <alignment horizontal="center" vertical="center"/>
    </xf>
    <xf numFmtId="0" fontId="2" fillId="0" borderId="78" xfId="0" applyFont="1" applyBorder="1" applyAlignment="1">
      <alignment horizontal="center" vertical="center" wrapText="1"/>
    </xf>
    <xf numFmtId="10" fontId="2" fillId="3" borderId="1" xfId="2" applyNumberFormat="1" applyFont="1" applyFill="1" applyBorder="1" applyAlignment="1">
      <alignment vertical="center"/>
    </xf>
    <xf numFmtId="165" fontId="2" fillId="0" borderId="0" xfId="1" applyNumberFormat="1" applyFont="1" applyFill="1" applyAlignment="1">
      <alignment vertical="center"/>
    </xf>
    <xf numFmtId="10" fontId="2" fillId="0" borderId="0" xfId="2" applyNumberFormat="1" applyFont="1" applyFill="1" applyAlignment="1">
      <alignment horizontal="right" vertical="center"/>
    </xf>
    <xf numFmtId="10" fontId="2" fillId="0" borderId="0" xfId="2" applyNumberFormat="1" applyFont="1" applyAlignment="1">
      <alignment horizontal="right" vertical="center"/>
    </xf>
    <xf numFmtId="166" fontId="2" fillId="0" borderId="0" xfId="5" applyNumberFormat="1" applyFont="1" applyFill="1" applyAlignment="1">
      <alignment vertical="center"/>
    </xf>
    <xf numFmtId="10" fontId="2" fillId="0" borderId="78" xfId="2" applyNumberFormat="1" applyFont="1" applyFill="1" applyBorder="1" applyAlignment="1">
      <alignment horizontal="right" vertical="center"/>
    </xf>
    <xf numFmtId="10" fontId="2" fillId="0" borderId="78" xfId="2" applyNumberFormat="1" applyFont="1" applyBorder="1" applyAlignment="1">
      <alignment horizontal="right" vertical="center"/>
    </xf>
    <xf numFmtId="10" fontId="2" fillId="0" borderId="0" xfId="2" applyNumberFormat="1" applyFont="1" applyBorder="1" applyAlignment="1">
      <alignment horizontal="right" vertical="center"/>
    </xf>
    <xf numFmtId="10" fontId="2" fillId="0" borderId="1" xfId="2" applyNumberFormat="1" applyFont="1" applyFill="1" applyBorder="1" applyAlignment="1">
      <alignment horizontal="right" vertical="center"/>
    </xf>
    <xf numFmtId="10" fontId="2" fillId="0" borderId="1" xfId="2" applyNumberFormat="1" applyFont="1" applyBorder="1" applyAlignment="1">
      <alignment horizontal="right" vertical="center"/>
    </xf>
    <xf numFmtId="0" fontId="2" fillId="0" borderId="77" xfId="0" applyFont="1" applyBorder="1" applyAlignment="1">
      <alignment horizontal="center" vertical="center"/>
    </xf>
    <xf numFmtId="0" fontId="2" fillId="0" borderId="77" xfId="0" applyFont="1" applyBorder="1" applyAlignment="1">
      <alignment vertical="center"/>
    </xf>
    <xf numFmtId="0" fontId="2" fillId="0" borderId="77" xfId="0" applyFont="1" applyBorder="1" applyAlignment="1">
      <alignment horizontal="center" vertical="center" wrapText="1"/>
    </xf>
    <xf numFmtId="10" fontId="2" fillId="0" borderId="0" xfId="2" applyNumberFormat="1" applyFont="1" applyFill="1" applyBorder="1" applyAlignment="1">
      <alignment horizontal="right" vertical="center"/>
    </xf>
    <xf numFmtId="10" fontId="2" fillId="0" borderId="0" xfId="2" applyNumberFormat="1" applyFont="1" applyAlignment="1">
      <alignment vertical="center"/>
    </xf>
    <xf numFmtId="165" fontId="2" fillId="0" borderId="0" xfId="1" applyNumberFormat="1" applyFont="1" applyFill="1" applyAlignment="1">
      <alignment horizontal="right" vertical="center"/>
    </xf>
    <xf numFmtId="167" fontId="2" fillId="2" borderId="78" xfId="0" applyNumberFormat="1" applyFont="1" applyFill="1" applyBorder="1" applyAlignment="1">
      <alignment horizontal="right" vertical="center"/>
    </xf>
    <xf numFmtId="165" fontId="24" fillId="0" borderId="0" xfId="0" applyNumberFormat="1" applyFont="1" applyAlignment="1">
      <alignment vertical="center"/>
    </xf>
    <xf numFmtId="3" fontId="2" fillId="0" borderId="50" xfId="3" applyNumberFormat="1" applyFont="1" applyBorder="1" applyAlignment="1">
      <alignment horizontal="centerContinuous" vertical="center"/>
    </xf>
    <xf numFmtId="0" fontId="3" fillId="0" borderId="0" xfId="3" applyFont="1" applyAlignment="1">
      <alignment horizontal="center" vertical="center"/>
    </xf>
    <xf numFmtId="166" fontId="2" fillId="0" borderId="0" xfId="5" applyNumberFormat="1" applyFont="1" applyAlignment="1">
      <alignment vertical="center"/>
    </xf>
    <xf numFmtId="194" fontId="2" fillId="0" borderId="0" xfId="0" applyNumberFormat="1" applyFont="1" applyAlignment="1">
      <alignment vertical="center"/>
    </xf>
    <xf numFmtId="43" fontId="2" fillId="0" borderId="50" xfId="0" applyNumberFormat="1" applyFont="1" applyBorder="1" applyAlignment="1">
      <alignment horizontal="left" vertical="center"/>
    </xf>
    <xf numFmtId="37" fontId="3" fillId="0" borderId="77" xfId="0" applyNumberFormat="1" applyFont="1" applyBorder="1" applyAlignment="1">
      <alignment horizontal="center" vertical="center"/>
    </xf>
    <xf numFmtId="166" fontId="2" fillId="0" borderId="78" xfId="0" applyNumberFormat="1" applyFont="1" applyBorder="1" applyAlignment="1">
      <alignment vertical="center"/>
    </xf>
    <xf numFmtId="37" fontId="2" fillId="0" borderId="77" xfId="0" applyNumberFormat="1" applyFont="1" applyBorder="1" applyAlignment="1">
      <alignment vertical="center"/>
    </xf>
    <xf numFmtId="174" fontId="2" fillId="0" borderId="12" xfId="3" applyNumberFormat="1" applyFont="1" applyBorder="1" applyAlignment="1">
      <alignment horizontal="center" wrapText="1"/>
    </xf>
    <xf numFmtId="37" fontId="2" fillId="0" borderId="77" xfId="0" applyNumberFormat="1" applyFont="1" applyBorder="1" applyAlignment="1">
      <alignment horizontal="left" vertical="center"/>
    </xf>
    <xf numFmtId="0" fontId="2" fillId="0" borderId="0" xfId="0" applyFont="1" applyAlignment="1">
      <alignment vertical="top"/>
    </xf>
    <xf numFmtId="171" fontId="11" fillId="0" borderId="0" xfId="0" applyNumberFormat="1" applyFont="1"/>
    <xf numFmtId="166" fontId="16" fillId="0" borderId="0" xfId="5" applyNumberFormat="1" applyFont="1" applyAlignment="1">
      <alignment vertical="center"/>
    </xf>
    <xf numFmtId="166" fontId="6" fillId="0" borderId="0" xfId="5" applyNumberFormat="1" applyFont="1" applyFill="1" applyAlignment="1">
      <alignment horizontal="center" vertical="center"/>
    </xf>
    <xf numFmtId="193" fontId="22" fillId="0" borderId="0" xfId="0" applyNumberFormat="1" applyFont="1" applyAlignment="1">
      <alignment horizontal="center" vertical="center"/>
    </xf>
    <xf numFmtId="195" fontId="22" fillId="0" borderId="0" xfId="0" applyNumberFormat="1" applyFont="1" applyAlignment="1">
      <alignment horizontal="center" vertical="center"/>
    </xf>
    <xf numFmtId="196" fontId="2" fillId="0" borderId="0" xfId="0" applyNumberFormat="1" applyFont="1" applyAlignment="1">
      <alignment vertical="center"/>
    </xf>
    <xf numFmtId="166" fontId="2" fillId="0" borderId="0" xfId="5" applyNumberFormat="1" applyFont="1" applyAlignment="1">
      <alignment horizontal="center" vertical="center"/>
    </xf>
    <xf numFmtId="44" fontId="2" fillId="0" borderId="0" xfId="1" applyFont="1" applyFill="1" applyAlignment="1">
      <alignment horizontal="right" vertical="center"/>
    </xf>
    <xf numFmtId="197" fontId="16" fillId="0" borderId="0" xfId="0" applyNumberFormat="1" applyFont="1" applyAlignment="1">
      <alignment vertical="center"/>
    </xf>
    <xf numFmtId="0" fontId="3" fillId="0" borderId="77" xfId="0" applyFont="1" applyBorder="1" applyAlignment="1">
      <alignment horizontal="center" vertical="center"/>
    </xf>
    <xf numFmtId="43" fontId="2" fillId="0" borderId="50" xfId="0" applyNumberFormat="1" applyFont="1" applyBorder="1" applyAlignment="1">
      <alignment vertical="center"/>
    </xf>
    <xf numFmtId="49" fontId="2" fillId="0" borderId="77" xfId="0" applyNumberFormat="1" applyFont="1" applyBorder="1" applyAlignment="1">
      <alignment horizontal="center" vertical="center"/>
    </xf>
    <xf numFmtId="166" fontId="2" fillId="0" borderId="77" xfId="0" applyNumberFormat="1" applyFont="1" applyBorder="1" applyAlignment="1">
      <alignment vertical="center"/>
    </xf>
    <xf numFmtId="49" fontId="2" fillId="0" borderId="50" xfId="0" applyNumberFormat="1" applyFont="1" applyBorder="1" applyAlignment="1">
      <alignment horizontal="center" vertical="center"/>
    </xf>
    <xf numFmtId="43" fontId="2" fillId="0" borderId="50" xfId="0" applyNumberFormat="1" applyFont="1" applyBorder="1" applyAlignment="1">
      <alignment horizontal="center" vertical="center"/>
    </xf>
    <xf numFmtId="43" fontId="3" fillId="0" borderId="50" xfId="0" applyNumberFormat="1" applyFont="1" applyBorder="1" applyAlignment="1">
      <alignment vertical="center"/>
    </xf>
    <xf numFmtId="0" fontId="4" fillId="0" borderId="0" xfId="0" quotePrefix="1" applyFont="1" applyAlignment="1">
      <alignment horizontal="center" vertical="center"/>
    </xf>
    <xf numFmtId="166" fontId="2" fillId="0" borderId="0" xfId="5" quotePrefix="1" applyNumberFormat="1" applyFont="1" applyAlignment="1">
      <alignment horizontal="center" vertical="center"/>
    </xf>
    <xf numFmtId="166" fontId="2" fillId="0" borderId="54" xfId="0" applyNumberFormat="1" applyFont="1" applyBorder="1" applyAlignment="1">
      <alignment vertical="center"/>
    </xf>
    <xf numFmtId="0" fontId="22" fillId="0" borderId="0" xfId="0" applyFont="1"/>
    <xf numFmtId="166" fontId="2" fillId="0" borderId="50" xfId="0" applyNumberFormat="1" applyFont="1" applyBorder="1" applyAlignment="1">
      <alignment horizontal="right" vertical="center"/>
    </xf>
    <xf numFmtId="37" fontId="22" fillId="0" borderId="0" xfId="0" applyNumberFormat="1" applyFont="1" applyAlignment="1">
      <alignment vertical="center"/>
    </xf>
    <xf numFmtId="166" fontId="2" fillId="0" borderId="0" xfId="5" applyNumberFormat="1" applyFont="1" applyFill="1" applyBorder="1" applyAlignment="1">
      <alignment horizontal="center" vertical="center"/>
    </xf>
    <xf numFmtId="166" fontId="2" fillId="0" borderId="78" xfId="5" applyNumberFormat="1" applyFont="1" applyFill="1" applyBorder="1" applyAlignment="1">
      <alignment horizontal="center" vertical="center"/>
    </xf>
    <xf numFmtId="3" fontId="2" fillId="0" borderId="0" xfId="3" applyNumberFormat="1" applyFont="1" applyAlignment="1">
      <alignment horizontal="centerContinuous" vertical="center"/>
    </xf>
    <xf numFmtId="166" fontId="2" fillId="3" borderId="78" xfId="0" applyNumberFormat="1" applyFont="1" applyFill="1" applyBorder="1" applyAlignment="1" applyProtection="1">
      <alignment vertical="center"/>
      <protection locked="0"/>
    </xf>
    <xf numFmtId="43" fontId="2" fillId="0" borderId="0" xfId="5" applyFont="1" applyFill="1" applyBorder="1" applyAlignment="1">
      <alignment vertical="center"/>
    </xf>
    <xf numFmtId="5" fontId="2" fillId="0" borderId="78" xfId="0" applyNumberFormat="1" applyFont="1" applyBorder="1" applyAlignment="1">
      <alignment horizontal="center" vertical="center"/>
    </xf>
    <xf numFmtId="165" fontId="2" fillId="0" borderId="79" xfId="0" applyNumberFormat="1" applyFont="1" applyBorder="1" applyAlignment="1">
      <alignment horizontal="right" vertical="center"/>
    </xf>
    <xf numFmtId="166" fontId="2" fillId="2" borderId="78" xfId="0" applyNumberFormat="1" applyFont="1" applyFill="1" applyBorder="1" applyAlignment="1" applyProtection="1">
      <alignment horizontal="right" vertical="center"/>
      <protection locked="0"/>
    </xf>
    <xf numFmtId="165" fontId="2" fillId="0" borderId="80" xfId="0" applyNumberFormat="1" applyFont="1" applyBorder="1" applyAlignment="1">
      <alignment horizontal="right" vertical="center"/>
    </xf>
    <xf numFmtId="166" fontId="2" fillId="0" borderId="78" xfId="0" applyNumberFormat="1" applyFont="1" applyBorder="1" applyAlignment="1">
      <alignment horizontal="right" vertical="center"/>
    </xf>
    <xf numFmtId="165" fontId="2" fillId="2" borderId="78" xfId="0" applyNumberFormat="1" applyFont="1" applyFill="1" applyBorder="1" applyAlignment="1">
      <alignment vertical="center"/>
    </xf>
    <xf numFmtId="10" fontId="2" fillId="3" borderId="78" xfId="0" applyNumberFormat="1" applyFont="1" applyFill="1" applyBorder="1" applyAlignment="1">
      <alignment vertical="center"/>
    </xf>
    <xf numFmtId="165" fontId="2" fillId="0" borderId="78" xfId="0" applyNumberFormat="1" applyFont="1" applyBorder="1" applyAlignment="1">
      <alignment vertical="center"/>
    </xf>
    <xf numFmtId="10" fontId="2" fillId="2" borderId="78" xfId="0" applyNumberFormat="1" applyFont="1" applyFill="1" applyBorder="1" applyAlignment="1">
      <alignment vertical="center"/>
    </xf>
    <xf numFmtId="165" fontId="2" fillId="0" borderId="78" xfId="0" applyNumberFormat="1" applyFont="1" applyBorder="1" applyAlignment="1">
      <alignment horizontal="center" vertical="center"/>
    </xf>
    <xf numFmtId="0" fontId="2" fillId="0" borderId="78" xfId="0" applyFont="1" applyBorder="1" applyAlignment="1">
      <alignment vertical="center"/>
    </xf>
    <xf numFmtId="166" fontId="2" fillId="3" borderId="78" xfId="0" applyNumberFormat="1" applyFont="1" applyFill="1" applyBorder="1" applyAlignment="1">
      <alignment vertical="center"/>
    </xf>
    <xf numFmtId="166" fontId="2" fillId="0" borderId="78" xfId="0" applyNumberFormat="1" applyFont="1" applyBorder="1" applyAlignment="1">
      <alignment horizontal="left" vertical="center"/>
    </xf>
    <xf numFmtId="164" fontId="2" fillId="3" borderId="78" xfId="0" applyNumberFormat="1" applyFont="1" applyFill="1" applyBorder="1" applyAlignment="1">
      <alignment horizontal="center" vertical="center"/>
    </xf>
    <xf numFmtId="15" fontId="2" fillId="3" borderId="78" xfId="0" applyNumberFormat="1" applyFont="1" applyFill="1" applyBorder="1" applyAlignment="1">
      <alignment horizontal="center" vertical="center"/>
    </xf>
    <xf numFmtId="166" fontId="2" fillId="0" borderId="78" xfId="0" applyNumberFormat="1" applyFont="1" applyBorder="1" applyAlignment="1" applyProtection="1">
      <alignment vertical="center"/>
      <protection locked="0"/>
    </xf>
    <xf numFmtId="10" fontId="2" fillId="2" borderId="78" xfId="0" applyNumberFormat="1" applyFont="1" applyFill="1" applyBorder="1" applyAlignment="1">
      <alignment horizontal="right" vertical="center"/>
    </xf>
    <xf numFmtId="0" fontId="3" fillId="0" borderId="48" xfId="0" applyFont="1" applyBorder="1" applyAlignment="1">
      <alignment vertical="center"/>
    </xf>
    <xf numFmtId="0" fontId="3" fillId="0" borderId="48" xfId="0" quotePrefix="1" applyFont="1" applyBorder="1" applyAlignment="1">
      <alignment horizontal="center" vertical="center"/>
    </xf>
    <xf numFmtId="0" fontId="3" fillId="0" borderId="50" xfId="0" applyFont="1" applyBorder="1" applyAlignment="1">
      <alignment horizontal="centerContinuous" vertical="center"/>
    </xf>
    <xf numFmtId="0" fontId="3" fillId="0" borderId="78" xfId="0" applyFont="1" applyBorder="1" applyAlignment="1">
      <alignment horizontal="center" vertical="center"/>
    </xf>
    <xf numFmtId="17" fontId="2" fillId="0" borderId="50" xfId="0" quotePrefix="1" applyNumberFormat="1" applyFont="1" applyBorder="1" applyAlignment="1">
      <alignment horizontal="left" vertical="center"/>
    </xf>
    <xf numFmtId="0" fontId="2" fillId="0" borderId="50" xfId="0" applyFont="1" applyBorder="1" applyAlignment="1">
      <alignment horizontal="centerContinuous" vertical="center"/>
    </xf>
    <xf numFmtId="0" fontId="25" fillId="0" borderId="50" xfId="0" applyFont="1" applyBorder="1" applyAlignment="1">
      <alignment horizontal="centerContinuous" vertical="center"/>
    </xf>
    <xf numFmtId="17" fontId="2" fillId="0" borderId="50" xfId="0" applyNumberFormat="1" applyFont="1" applyBorder="1" applyAlignment="1">
      <alignment horizontal="left" vertical="center"/>
    </xf>
    <xf numFmtId="0" fontId="2" fillId="0" borderId="50" xfId="0" applyFont="1" applyBorder="1" applyAlignment="1">
      <alignment horizontal="center" vertical="center"/>
    </xf>
    <xf numFmtId="166" fontId="2" fillId="0" borderId="50" xfId="0" applyNumberFormat="1" applyFont="1" applyBorder="1" applyAlignment="1">
      <alignment horizontal="center" vertical="center"/>
    </xf>
    <xf numFmtId="168" fontId="2" fillId="0" borderId="50" xfId="0" applyNumberFormat="1" applyFont="1" applyBorder="1" applyAlignment="1">
      <alignment horizontal="center" vertical="center"/>
    </xf>
    <xf numFmtId="166" fontId="2" fillId="0" borderId="50" xfId="0" applyNumberFormat="1" applyFont="1" applyBorder="1" applyAlignment="1">
      <alignment horizontal="centerContinuous" vertical="center"/>
    </xf>
    <xf numFmtId="168" fontId="3" fillId="0" borderId="48" xfId="0" applyNumberFormat="1" applyFont="1" applyBorder="1" applyAlignment="1">
      <alignment vertical="center"/>
    </xf>
    <xf numFmtId="168" fontId="3" fillId="0" borderId="50" xfId="0" applyNumberFormat="1" applyFont="1" applyBorder="1" applyAlignment="1">
      <alignment vertical="center"/>
    </xf>
    <xf numFmtId="3" fontId="2" fillId="0" borderId="50" xfId="0" applyNumberFormat="1" applyFont="1" applyBorder="1" applyAlignment="1">
      <alignment horizontal="centerContinuous" vertical="center"/>
    </xf>
    <xf numFmtId="3" fontId="2" fillId="0" borderId="50" xfId="0" applyNumberFormat="1" applyFont="1" applyBorder="1" applyAlignment="1">
      <alignment horizontal="center" vertical="center"/>
    </xf>
    <xf numFmtId="3" fontId="25" fillId="0" borderId="50" xfId="0" applyNumberFormat="1" applyFont="1" applyBorder="1" applyAlignment="1">
      <alignment horizontal="centerContinuous" vertical="center"/>
    </xf>
    <xf numFmtId="0" fontId="2" fillId="0" borderId="48" xfId="0" applyFont="1" applyBorder="1" applyAlignment="1">
      <alignment vertical="center"/>
    </xf>
    <xf numFmtId="3" fontId="2" fillId="0" borderId="50" xfId="0" applyNumberFormat="1" applyFont="1" applyBorder="1" applyAlignment="1">
      <alignment vertical="center"/>
    </xf>
    <xf numFmtId="0" fontId="3" fillId="0" borderId="48" xfId="0" applyFont="1" applyBorder="1" applyAlignment="1">
      <alignment horizontal="center" vertical="center"/>
    </xf>
    <xf numFmtId="166" fontId="3" fillId="0" borderId="48" xfId="0" quotePrefix="1" applyNumberFormat="1" applyFont="1" applyBorder="1" applyAlignment="1">
      <alignment horizontal="center" vertical="center"/>
    </xf>
    <xf numFmtId="0" fontId="3" fillId="0" borderId="50" xfId="0" quotePrefix="1" applyFont="1" applyBorder="1" applyAlignment="1">
      <alignment horizontal="center" vertical="center"/>
    </xf>
    <xf numFmtId="166" fontId="3" fillId="0" borderId="78" xfId="0" applyNumberFormat="1" applyFont="1" applyBorder="1" applyAlignment="1">
      <alignment horizontal="center" vertical="center"/>
    </xf>
    <xf numFmtId="170" fontId="2" fillId="0" borderId="50" xfId="0" applyNumberFormat="1" applyFont="1" applyBorder="1" applyAlignment="1">
      <alignment horizontal="center" vertical="center"/>
    </xf>
    <xf numFmtId="0" fontId="2" fillId="0" borderId="50" xfId="0" quotePrefix="1" applyFont="1" applyBorder="1" applyAlignment="1">
      <alignment horizontal="left" vertical="center"/>
    </xf>
    <xf numFmtId="0" fontId="3" fillId="0" borderId="47" xfId="0" applyFont="1" applyBorder="1" applyAlignment="1">
      <alignment horizontal="center" vertical="center"/>
    </xf>
    <xf numFmtId="0" fontId="3" fillId="0" borderId="47" xfId="0" applyFont="1" applyBorder="1" applyAlignment="1">
      <alignment vertical="center"/>
    </xf>
    <xf numFmtId="165" fontId="3" fillId="0" borderId="47" xfId="0" applyNumberFormat="1" applyFont="1" applyBorder="1" applyAlignment="1">
      <alignment vertical="center"/>
    </xf>
    <xf numFmtId="0" fontId="2" fillId="0" borderId="47" xfId="0" applyFont="1" applyBorder="1" applyAlignment="1">
      <alignment horizontal="center" vertical="center"/>
    </xf>
    <xf numFmtId="165" fontId="16" fillId="0" borderId="50" xfId="0" applyNumberFormat="1" applyFont="1" applyBorder="1" applyAlignment="1">
      <alignment vertical="center"/>
    </xf>
    <xf numFmtId="166" fontId="16" fillId="0" borderId="50" xfId="0" applyNumberFormat="1" applyFont="1" applyBorder="1" applyAlignment="1">
      <alignment vertical="center"/>
    </xf>
    <xf numFmtId="170" fontId="3" fillId="0" borderId="47" xfId="0" applyNumberFormat="1" applyFont="1" applyBorder="1" applyAlignment="1">
      <alignment horizontal="center" vertical="center"/>
    </xf>
    <xf numFmtId="170" fontId="2" fillId="0" borderId="47" xfId="0" applyNumberFormat="1" applyFont="1" applyBorder="1" applyAlignment="1">
      <alignment horizontal="center" vertical="center"/>
    </xf>
    <xf numFmtId="0" fontId="3" fillId="0" borderId="80" xfId="0" applyFont="1" applyBorder="1" applyAlignment="1">
      <alignment horizontal="center" vertical="center"/>
    </xf>
    <xf numFmtId="166" fontId="3" fillId="0" borderId="48" xfId="0" quotePrefix="1" applyNumberFormat="1" applyFont="1" applyBorder="1" applyAlignment="1">
      <alignment horizontal="centerContinuous" vertical="center"/>
    </xf>
    <xf numFmtId="168" fontId="2" fillId="0" borderId="50" xfId="0" applyNumberFormat="1" applyFont="1" applyBorder="1" applyAlignment="1">
      <alignment vertical="center"/>
    </xf>
    <xf numFmtId="3" fontId="3" fillId="0" borderId="50" xfId="0" applyNumberFormat="1" applyFont="1" applyBorder="1" applyAlignment="1">
      <alignment horizontal="right" vertical="center"/>
    </xf>
    <xf numFmtId="165" fontId="3" fillId="0" borderId="50" xfId="0" applyNumberFormat="1" applyFont="1" applyBorder="1" applyAlignment="1">
      <alignment vertical="center"/>
    </xf>
    <xf numFmtId="0" fontId="3" fillId="0" borderId="48" xfId="0" quotePrefix="1" applyFont="1" applyBorder="1" applyAlignment="1">
      <alignment vertical="center"/>
    </xf>
    <xf numFmtId="3" fontId="3" fillId="0" borderId="50" xfId="0" applyNumberFormat="1" applyFont="1" applyBorder="1" applyAlignment="1">
      <alignment vertical="center"/>
    </xf>
    <xf numFmtId="10" fontId="2" fillId="0" borderId="50" xfId="0" applyNumberFormat="1" applyFont="1" applyBorder="1" applyAlignment="1">
      <alignment horizontal="center" vertical="center"/>
    </xf>
    <xf numFmtId="165" fontId="2" fillId="0" borderId="50" xfId="0" applyNumberFormat="1" applyFont="1" applyBorder="1" applyAlignment="1">
      <alignment horizontal="right" vertical="center"/>
    </xf>
    <xf numFmtId="0" fontId="3" fillId="0" borderId="78" xfId="0" applyFont="1" applyBorder="1" applyAlignment="1">
      <alignment vertical="center"/>
    </xf>
    <xf numFmtId="15" fontId="2" fillId="2" borderId="78" xfId="0" applyNumberFormat="1" applyFont="1" applyFill="1" applyBorder="1" applyAlignment="1">
      <alignment horizontal="center" vertical="center"/>
    </xf>
    <xf numFmtId="10" fontId="2" fillId="2" borderId="78" xfId="0" applyNumberFormat="1" applyFont="1" applyFill="1" applyBorder="1" applyAlignment="1" applyProtection="1">
      <alignment horizontal="right" vertical="center"/>
      <protection locked="0"/>
    </xf>
    <xf numFmtId="166" fontId="2" fillId="0" borderId="78" xfId="0" applyNumberFormat="1" applyFont="1" applyBorder="1" applyAlignment="1" applyProtection="1">
      <alignment horizontal="right" vertical="center"/>
      <protection locked="0"/>
    </xf>
    <xf numFmtId="0" fontId="3" fillId="0" borderId="50" xfId="0" quotePrefix="1" applyFont="1" applyBorder="1" applyAlignment="1">
      <alignment vertical="center"/>
    </xf>
    <xf numFmtId="170" fontId="2" fillId="0" borderId="50" xfId="0" applyNumberFormat="1" applyFont="1" applyBorder="1" applyAlignment="1">
      <alignment vertical="center"/>
    </xf>
    <xf numFmtId="0" fontId="3" fillId="0" borderId="48" xfId="0" quotePrefix="1" applyFont="1" applyBorder="1" applyAlignment="1">
      <alignment horizontal="centerContinuous" vertical="center"/>
    </xf>
    <xf numFmtId="41" fontId="2" fillId="0" borderId="78" xfId="0" applyNumberFormat="1" applyFont="1" applyBorder="1" applyAlignment="1">
      <alignment vertical="center"/>
    </xf>
    <xf numFmtId="14" fontId="3" fillId="0" borderId="78" xfId="0" applyNumberFormat="1" applyFont="1" applyBorder="1" applyAlignment="1">
      <alignment vertical="center"/>
    </xf>
    <xf numFmtId="14" fontId="3" fillId="0" borderId="78" xfId="0" applyNumberFormat="1" applyFont="1" applyBorder="1" applyAlignment="1">
      <alignment horizontal="center" vertical="center"/>
    </xf>
    <xf numFmtId="37" fontId="3" fillId="0" borderId="48" xfId="0" applyNumberFormat="1" applyFont="1" applyBorder="1" applyAlignment="1">
      <alignment horizontal="center" vertical="center"/>
    </xf>
    <xf numFmtId="165" fontId="3" fillId="0" borderId="48" xfId="0" applyNumberFormat="1" applyFont="1" applyBorder="1" applyAlignment="1">
      <alignment vertical="center"/>
    </xf>
    <xf numFmtId="0" fontId="3" fillId="0" borderId="79" xfId="0" applyFont="1" applyBorder="1" applyAlignment="1">
      <alignment horizontal="center" vertical="center"/>
    </xf>
    <xf numFmtId="17" fontId="2" fillId="0" borderId="48" xfId="0" applyNumberFormat="1" applyFont="1" applyBorder="1" applyAlignment="1">
      <alignment horizontal="left" vertical="center"/>
    </xf>
    <xf numFmtId="166" fontId="2" fillId="2" borderId="78" xfId="0" applyNumberFormat="1" applyFont="1" applyFill="1" applyBorder="1" applyAlignment="1">
      <alignment vertical="center"/>
    </xf>
    <xf numFmtId="38" fontId="3" fillId="0" borderId="50" xfId="0" applyNumberFormat="1" applyFont="1" applyBorder="1" applyAlignment="1">
      <alignment vertical="center"/>
    </xf>
    <xf numFmtId="38" fontId="2" fillId="0" borderId="75" xfId="0" applyNumberFormat="1" applyFont="1" applyBorder="1" applyAlignment="1">
      <alignment horizontal="center" vertical="center"/>
    </xf>
    <xf numFmtId="0" fontId="14" fillId="0" borderId="77" xfId="0" applyFont="1" applyBorder="1" applyAlignment="1">
      <alignment vertical="center"/>
    </xf>
    <xf numFmtId="165" fontId="2" fillId="0" borderId="77" xfId="0" applyNumberFormat="1" applyFont="1" applyBorder="1" applyAlignment="1">
      <alignment vertical="center"/>
    </xf>
    <xf numFmtId="38" fontId="2" fillId="0" borderId="70" xfId="0" applyNumberFormat="1" applyFont="1" applyBorder="1" applyAlignment="1">
      <alignment horizontal="center" vertical="center"/>
    </xf>
    <xf numFmtId="173" fontId="2" fillId="0" borderId="50" xfId="0" applyNumberFormat="1" applyFont="1" applyBorder="1" applyAlignment="1">
      <alignment vertical="center"/>
    </xf>
    <xf numFmtId="166" fontId="2" fillId="0" borderId="48" xfId="0" applyNumberFormat="1" applyFont="1" applyBorder="1" applyAlignment="1">
      <alignment vertical="center"/>
    </xf>
    <xf numFmtId="0" fontId="2" fillId="0" borderId="79" xfId="0" applyFont="1" applyBorder="1" applyAlignment="1">
      <alignment horizontal="center" vertical="center"/>
    </xf>
    <xf numFmtId="0" fontId="8" fillId="0" borderId="78" xfId="0" applyFont="1" applyBorder="1" applyAlignment="1">
      <alignment vertical="center"/>
    </xf>
    <xf numFmtId="0" fontId="8" fillId="0" borderId="48" xfId="0" applyFont="1" applyBorder="1" applyAlignment="1">
      <alignment vertical="center"/>
    </xf>
    <xf numFmtId="183" fontId="3" fillId="0" borderId="48" xfId="0" quotePrefix="1" applyNumberFormat="1" applyFont="1" applyBorder="1" applyAlignment="1">
      <alignment horizontal="center" vertical="center"/>
    </xf>
    <xf numFmtId="0" fontId="2" fillId="0" borderId="50" xfId="0" applyFont="1" applyBorder="1" applyAlignment="1">
      <alignment horizontal="left" vertical="center"/>
    </xf>
    <xf numFmtId="44" fontId="2" fillId="0" borderId="50" xfId="0" applyNumberFormat="1" applyFont="1" applyBorder="1" applyAlignment="1">
      <alignment horizontal="center" vertical="center"/>
    </xf>
    <xf numFmtId="0" fontId="3" fillId="0" borderId="50" xfId="0" quotePrefix="1" applyFont="1" applyBorder="1" applyAlignment="1">
      <alignment horizontal="centerContinuous" vertical="center"/>
    </xf>
    <xf numFmtId="166" fontId="3" fillId="0" borderId="50" xfId="0" quotePrefix="1" applyNumberFormat="1" applyFont="1" applyBorder="1" applyAlignment="1">
      <alignment horizontal="center" vertical="center"/>
    </xf>
    <xf numFmtId="166" fontId="3" fillId="0" borderId="78" xfId="0" applyNumberFormat="1" applyFont="1" applyBorder="1" applyAlignment="1">
      <alignment horizontal="centerContinuous" vertical="center"/>
    </xf>
    <xf numFmtId="49" fontId="3" fillId="0" borderId="78" xfId="0" applyNumberFormat="1" applyFont="1" applyBorder="1" applyAlignment="1">
      <alignment horizontal="center" vertical="center"/>
    </xf>
    <xf numFmtId="0" fontId="16" fillId="0" borderId="50" xfId="0" applyFont="1" applyBorder="1" applyAlignment="1">
      <alignment vertical="center"/>
    </xf>
    <xf numFmtId="165" fontId="18" fillId="0" borderId="47" xfId="0" applyNumberFormat="1" applyFont="1" applyBorder="1" applyAlignment="1">
      <alignment vertical="center"/>
    </xf>
    <xf numFmtId="10" fontId="2" fillId="0" borderId="47" xfId="0" applyNumberFormat="1" applyFont="1" applyBorder="1" applyAlignment="1">
      <alignment horizontal="center" vertical="center"/>
    </xf>
    <xf numFmtId="0" fontId="3" fillId="0" borderId="47" xfId="0" applyFont="1" applyBorder="1" applyAlignment="1">
      <alignment horizontal="left" vertical="center"/>
    </xf>
    <xf numFmtId="0" fontId="2" fillId="0" borderId="80" xfId="0" applyFont="1" applyBorder="1" applyAlignment="1">
      <alignment horizontal="left" vertical="center"/>
    </xf>
    <xf numFmtId="10" fontId="2" fillId="0" borderId="80" xfId="0" applyNumberFormat="1" applyFont="1" applyBorder="1" applyAlignment="1">
      <alignment horizontal="center" vertical="center"/>
    </xf>
    <xf numFmtId="15" fontId="2" fillId="0" borderId="50" xfId="0" quotePrefix="1" applyNumberFormat="1" applyFont="1" applyBorder="1" applyAlignment="1">
      <alignment horizontal="left" vertical="center"/>
    </xf>
    <xf numFmtId="0" fontId="2" fillId="0" borderId="79" xfId="0" applyFont="1" applyBorder="1" applyAlignment="1">
      <alignment vertical="center"/>
    </xf>
    <xf numFmtId="0" fontId="3" fillId="0" borderId="48" xfId="0" applyFont="1" applyBorder="1" applyAlignment="1">
      <alignment horizontal="center" vertical="center" wrapText="1"/>
    </xf>
    <xf numFmtId="0" fontId="3" fillId="0" borderId="78" xfId="0" applyFont="1" applyBorder="1" applyAlignment="1">
      <alignment horizontal="centerContinuous" vertical="center" wrapText="1"/>
    </xf>
    <xf numFmtId="0" fontId="2" fillId="0" borderId="47" xfId="0" applyFont="1" applyBorder="1" applyAlignment="1">
      <alignment horizontal="center" vertical="center" wrapText="1"/>
    </xf>
    <xf numFmtId="0" fontId="2" fillId="0" borderId="80" xfId="0" applyFont="1" applyBorder="1" applyAlignment="1">
      <alignment horizontal="centerContinuous" vertical="center" wrapText="1"/>
    </xf>
    <xf numFmtId="0" fontId="2" fillId="3" borderId="50" xfId="0" applyFont="1" applyFill="1" applyBorder="1" applyAlignment="1" applyProtection="1">
      <alignment horizontal="center" vertical="center"/>
      <protection locked="0"/>
    </xf>
    <xf numFmtId="0" fontId="2" fillId="0" borderId="80" xfId="0" applyFont="1" applyBorder="1" applyAlignment="1">
      <alignment vertical="center"/>
    </xf>
    <xf numFmtId="0" fontId="2" fillId="3" borderId="47" xfId="0" applyFont="1" applyFill="1" applyBorder="1" applyAlignment="1" applyProtection="1">
      <alignment horizontal="center" vertical="center"/>
      <protection locked="0"/>
    </xf>
    <xf numFmtId="0" fontId="2" fillId="0" borderId="80" xfId="0" applyFont="1" applyBorder="1" applyAlignment="1">
      <alignment horizontal="center" vertical="center"/>
    </xf>
    <xf numFmtId="0" fontId="2" fillId="0" borderId="47" xfId="0" applyFont="1" applyBorder="1" applyAlignment="1">
      <alignment vertical="center"/>
    </xf>
    <xf numFmtId="10" fontId="2" fillId="3" borderId="80" xfId="0" applyNumberFormat="1" applyFont="1" applyFill="1" applyBorder="1" applyAlignment="1">
      <alignment horizontal="center" vertical="center"/>
    </xf>
    <xf numFmtId="10" fontId="2" fillId="3" borderId="47" xfId="0" applyNumberFormat="1" applyFont="1" applyFill="1" applyBorder="1" applyAlignment="1">
      <alignment horizontal="center" vertical="center"/>
    </xf>
    <xf numFmtId="0" fontId="2" fillId="0" borderId="47" xfId="0" quotePrefix="1" applyFont="1" applyBorder="1" applyAlignment="1">
      <alignment horizontal="center" vertical="center"/>
    </xf>
    <xf numFmtId="165" fontId="16" fillId="0" borderId="50" xfId="0" quotePrefix="1" applyNumberFormat="1" applyFont="1" applyBorder="1" applyAlignment="1">
      <alignment horizontal="left" vertical="center"/>
    </xf>
    <xf numFmtId="165" fontId="3" fillId="0" borderId="50" xfId="0" applyNumberFormat="1" applyFont="1" applyBorder="1" applyAlignment="1">
      <alignment horizontal="center" vertical="center"/>
    </xf>
    <xf numFmtId="0" fontId="18" fillId="0" borderId="48" xfId="0" applyFont="1" applyBorder="1" applyAlignment="1">
      <alignment horizontal="center" vertical="center"/>
    </xf>
    <xf numFmtId="0" fontId="18" fillId="0" borderId="79" xfId="0" applyFont="1" applyBorder="1" applyAlignment="1">
      <alignment horizontal="center" vertical="center"/>
    </xf>
    <xf numFmtId="0" fontId="18" fillId="0" borderId="48" xfId="0" quotePrefix="1" applyFont="1" applyBorder="1" applyAlignment="1">
      <alignment horizontal="center" vertical="center"/>
    </xf>
    <xf numFmtId="0" fontId="18" fillId="0" borderId="78" xfId="0" applyFont="1" applyBorder="1" applyAlignment="1">
      <alignment horizontal="center" vertical="center"/>
    </xf>
    <xf numFmtId="0" fontId="18" fillId="0" borderId="50" xfId="0" applyFont="1" applyBorder="1" applyAlignment="1">
      <alignment vertical="center"/>
    </xf>
    <xf numFmtId="0" fontId="16" fillId="0" borderId="47" xfId="0" applyFont="1" applyBorder="1" applyAlignment="1">
      <alignment horizontal="center" vertical="center"/>
    </xf>
    <xf numFmtId="0" fontId="16" fillId="0" borderId="47" xfId="0" applyFont="1" applyBorder="1" applyAlignment="1">
      <alignment vertical="center"/>
    </xf>
    <xf numFmtId="10" fontId="16" fillId="3" borderId="80" xfId="0" applyNumberFormat="1" applyFont="1" applyFill="1" applyBorder="1" applyAlignment="1">
      <alignment horizontal="center" vertical="center"/>
    </xf>
    <xf numFmtId="10" fontId="16" fillId="3" borderId="47" xfId="0" applyNumberFormat="1" applyFont="1" applyFill="1" applyBorder="1" applyAlignment="1">
      <alignment horizontal="center" vertical="center"/>
    </xf>
    <xf numFmtId="10" fontId="16" fillId="0" borderId="47" xfId="0" applyNumberFormat="1" applyFont="1" applyBorder="1" applyAlignment="1">
      <alignment horizontal="center" vertical="center"/>
    </xf>
    <xf numFmtId="0" fontId="16" fillId="0" borderId="50" xfId="0" applyFont="1" applyBorder="1" applyAlignment="1">
      <alignment horizontal="center" vertical="center"/>
    </xf>
    <xf numFmtId="10" fontId="16" fillId="3" borderId="78" xfId="0" applyNumberFormat="1" applyFont="1" applyFill="1" applyBorder="1" applyAlignment="1">
      <alignment horizontal="center" vertical="center"/>
    </xf>
    <xf numFmtId="0" fontId="16" fillId="0" borderId="47" xfId="0" quotePrefix="1" applyFont="1" applyBorder="1" applyAlignment="1">
      <alignment horizontal="center" vertical="center"/>
    </xf>
    <xf numFmtId="0" fontId="16" fillId="0" borderId="80" xfId="0" applyFont="1" applyBorder="1" applyAlignment="1">
      <alignment horizontal="center" vertical="center"/>
    </xf>
    <xf numFmtId="41" fontId="3" fillId="0" borderId="50" xfId="0" applyNumberFormat="1" applyFont="1" applyBorder="1" applyAlignment="1">
      <alignment horizontal="center" vertical="center"/>
    </xf>
    <xf numFmtId="3" fontId="3" fillId="0" borderId="50" xfId="0" quotePrefix="1" applyNumberFormat="1" applyFont="1" applyBorder="1" applyAlignment="1">
      <alignment horizontal="centerContinuous" vertical="center"/>
    </xf>
    <xf numFmtId="3" fontId="2" fillId="0" borderId="50" xfId="0" applyNumberFormat="1" applyFont="1" applyBorder="1" applyAlignment="1">
      <alignment horizontal="center" vertical="center" wrapText="1"/>
    </xf>
    <xf numFmtId="0" fontId="2" fillId="0" borderId="77" xfId="0" applyFont="1" applyBorder="1" applyAlignment="1">
      <alignment horizontal="right" vertical="center"/>
    </xf>
    <xf numFmtId="10" fontId="2" fillId="0" borderId="78" xfId="0" applyNumberFormat="1" applyFont="1" applyBorder="1" applyAlignment="1">
      <alignment vertical="center"/>
    </xf>
    <xf numFmtId="166" fontId="3" fillId="0" borderId="78" xfId="0" applyNumberFormat="1" applyFont="1" applyBorder="1" applyAlignment="1">
      <alignment vertical="center"/>
    </xf>
    <xf numFmtId="165" fontId="16" fillId="0" borderId="48" xfId="0" applyNumberFormat="1" applyFont="1" applyBorder="1" applyAlignment="1">
      <alignment vertical="center"/>
    </xf>
    <xf numFmtId="17" fontId="3" fillId="0" borderId="48" xfId="0" applyNumberFormat="1" applyFont="1" applyBorder="1" applyAlignment="1">
      <alignment horizontal="left" vertical="center"/>
    </xf>
    <xf numFmtId="166" fontId="31" fillId="0" borderId="48" xfId="0" applyNumberFormat="1" applyFont="1" applyBorder="1" applyAlignment="1">
      <alignment vertical="center"/>
    </xf>
    <xf numFmtId="166" fontId="3" fillId="0" borderId="48" xfId="0" applyNumberFormat="1" applyFont="1" applyBorder="1" applyAlignment="1">
      <alignment horizontal="center" vertical="center"/>
    </xf>
    <xf numFmtId="166" fontId="3" fillId="0" borderId="48" xfId="0" applyNumberFormat="1" applyFont="1" applyBorder="1" applyAlignment="1">
      <alignment vertical="center"/>
    </xf>
    <xf numFmtId="166" fontId="2" fillId="0" borderId="48" xfId="0" applyNumberFormat="1" applyFont="1" applyBorder="1" applyAlignment="1">
      <alignment horizontal="center" vertical="center"/>
    </xf>
    <xf numFmtId="0" fontId="3" fillId="0" borderId="78" xfId="0" applyFont="1" applyBorder="1" applyAlignment="1">
      <alignment horizontal="centerContinuous" vertical="center"/>
    </xf>
    <xf numFmtId="0" fontId="3" fillId="0" borderId="48" xfId="0" applyFont="1" applyBorder="1" applyAlignment="1">
      <alignment horizontal="left" vertical="center"/>
    </xf>
    <xf numFmtId="168" fontId="3" fillId="0" borderId="50" xfId="0" applyNumberFormat="1" applyFont="1" applyBorder="1" applyAlignment="1">
      <alignment horizontal="centerContinuous" vertical="center"/>
    </xf>
    <xf numFmtId="165" fontId="2" fillId="0" borderId="80" xfId="0" applyNumberFormat="1" applyFont="1" applyBorder="1" applyAlignment="1">
      <alignment horizontal="center" vertical="center"/>
    </xf>
    <xf numFmtId="181" fontId="3" fillId="0" borderId="77" xfId="0" quotePrefix="1" applyNumberFormat="1" applyFont="1" applyBorder="1" applyAlignment="1">
      <alignment horizontal="center" vertical="center"/>
    </xf>
    <xf numFmtId="165" fontId="2" fillId="0" borderId="80" xfId="0" applyNumberFormat="1" applyFont="1" applyBorder="1" applyAlignment="1" applyProtection="1">
      <alignment vertical="center"/>
      <protection locked="0"/>
    </xf>
    <xf numFmtId="10" fontId="2" fillId="0" borderId="78" xfId="0" applyNumberFormat="1" applyFont="1" applyBorder="1" applyAlignment="1">
      <alignment horizontal="right" vertical="center"/>
    </xf>
    <xf numFmtId="0" fontId="2" fillId="3" borderId="78" xfId="0" applyFont="1" applyFill="1" applyBorder="1" applyAlignment="1">
      <alignment horizontal="right" vertical="center"/>
    </xf>
    <xf numFmtId="167" fontId="2" fillId="0" borderId="78" xfId="0" applyNumberFormat="1" applyFont="1" applyBorder="1" applyAlignment="1">
      <alignment horizontal="right" vertical="center"/>
    </xf>
    <xf numFmtId="9" fontId="2" fillId="2" borderId="78" xfId="0" applyNumberFormat="1" applyFont="1" applyFill="1" applyBorder="1" applyAlignment="1">
      <alignment horizontal="right" vertical="center"/>
    </xf>
    <xf numFmtId="0" fontId="2" fillId="0" borderId="78" xfId="0" applyFont="1" applyBorder="1" applyAlignment="1">
      <alignment horizontal="left" vertical="center"/>
    </xf>
    <xf numFmtId="1" fontId="2" fillId="0" borderId="78" xfId="0" applyNumberFormat="1" applyFont="1" applyBorder="1" applyAlignment="1">
      <alignment horizontal="center" vertical="center"/>
    </xf>
    <xf numFmtId="166" fontId="16" fillId="0" borderId="78" xfId="0" applyNumberFormat="1" applyFont="1" applyBorder="1" applyAlignment="1">
      <alignment horizontal="right" vertical="center"/>
    </xf>
    <xf numFmtId="166" fontId="16" fillId="0" borderId="78" xfId="0" applyNumberFormat="1" applyFont="1" applyBorder="1" applyAlignment="1">
      <alignment vertical="center"/>
    </xf>
    <xf numFmtId="166" fontId="16" fillId="0" borderId="78" xfId="0" applyNumberFormat="1" applyFont="1" applyBorder="1" applyAlignment="1">
      <alignment horizontal="center" vertical="center"/>
    </xf>
    <xf numFmtId="9" fontId="2" fillId="3" borderId="78" xfId="0" applyNumberFormat="1" applyFont="1" applyFill="1" applyBorder="1" applyAlignment="1">
      <alignment horizontal="right" vertical="center"/>
    </xf>
    <xf numFmtId="184" fontId="2" fillId="0" borderId="78" xfId="0" applyNumberFormat="1" applyFont="1" applyBorder="1" applyAlignment="1">
      <alignment horizontal="right" vertical="center"/>
    </xf>
    <xf numFmtId="10" fontId="16" fillId="2" borderId="78" xfId="0" applyNumberFormat="1" applyFont="1" applyFill="1" applyBorder="1" applyAlignment="1">
      <alignment vertical="center"/>
    </xf>
    <xf numFmtId="10" fontId="16" fillId="0" borderId="78" xfId="0" applyNumberFormat="1" applyFont="1" applyBorder="1" applyAlignment="1">
      <alignment vertical="center"/>
    </xf>
    <xf numFmtId="166" fontId="2" fillId="0" borderId="78" xfId="0" quotePrefix="1" applyNumberFormat="1" applyFont="1" applyBorder="1" applyAlignment="1">
      <alignment horizontal="center" vertical="center"/>
    </xf>
    <xf numFmtId="166" fontId="16" fillId="2" borderId="78" xfId="0" applyNumberFormat="1" applyFont="1" applyFill="1" applyBorder="1" applyAlignment="1">
      <alignment vertical="center"/>
    </xf>
    <xf numFmtId="39" fontId="3" fillId="0" borderId="77" xfId="0" quotePrefix="1" applyNumberFormat="1" applyFont="1" applyBorder="1" applyAlignment="1">
      <alignment horizontal="center" vertical="center"/>
    </xf>
    <xf numFmtId="166" fontId="3" fillId="0" borderId="77" xfId="0" applyNumberFormat="1" applyFont="1" applyBorder="1" applyAlignment="1">
      <alignment vertical="center"/>
    </xf>
    <xf numFmtId="0" fontId="3" fillId="0" borderId="77" xfId="0" applyFont="1" applyBorder="1" applyAlignment="1">
      <alignment vertical="center"/>
    </xf>
    <xf numFmtId="0" fontId="8" fillId="0" borderId="50" xfId="0" applyFont="1" applyBorder="1" applyAlignment="1">
      <alignment vertical="center"/>
    </xf>
    <xf numFmtId="10" fontId="2" fillId="0" borderId="50" xfId="0" applyNumberFormat="1" applyFont="1" applyBorder="1" applyAlignment="1">
      <alignment horizontal="center" vertical="center" wrapText="1"/>
    </xf>
    <xf numFmtId="10" fontId="2" fillId="0" borderId="77" xfId="0" applyNumberFormat="1" applyFont="1" applyBorder="1" applyAlignment="1">
      <alignment vertical="center"/>
    </xf>
    <xf numFmtId="0" fontId="3" fillId="0" borderId="76" xfId="0" applyFont="1" applyBorder="1" applyAlignment="1">
      <alignment vertical="center"/>
    </xf>
    <xf numFmtId="0" fontId="3" fillId="0" borderId="76" xfId="0" applyFont="1" applyBorder="1" applyAlignment="1">
      <alignment horizontal="right" vertical="center"/>
    </xf>
    <xf numFmtId="0" fontId="3" fillId="0" borderId="75" xfId="0" applyFont="1" applyBorder="1" applyAlignment="1">
      <alignment horizontal="center" vertical="center"/>
    </xf>
    <xf numFmtId="37" fontId="3" fillId="0" borderId="54" xfId="0" applyNumberFormat="1" applyFont="1" applyBorder="1" applyAlignment="1">
      <alignment vertical="center"/>
    </xf>
    <xf numFmtId="0" fontId="3" fillId="0" borderId="79" xfId="0" quotePrefix="1" applyFont="1" applyBorder="1" applyAlignment="1">
      <alignment horizontal="center" vertical="center"/>
    </xf>
    <xf numFmtId="166" fontId="3" fillId="0" borderId="79" xfId="0" applyNumberFormat="1" applyFont="1" applyBorder="1" applyAlignment="1">
      <alignment vertical="center"/>
    </xf>
    <xf numFmtId="165" fontId="3" fillId="0" borderId="78" xfId="0" applyNumberFormat="1" applyFont="1" applyBorder="1" applyAlignment="1">
      <alignment vertical="center"/>
    </xf>
    <xf numFmtId="37" fontId="3" fillId="0" borderId="78" xfId="0" applyNumberFormat="1" applyFont="1" applyBorder="1" applyAlignment="1">
      <alignment vertical="center"/>
    </xf>
    <xf numFmtId="17" fontId="2" fillId="0" borderId="54" xfId="0" quotePrefix="1" applyNumberFormat="1" applyFont="1" applyBorder="1" applyAlignment="1">
      <alignment horizontal="left" vertical="center"/>
    </xf>
    <xf numFmtId="165" fontId="3" fillId="0" borderId="3" xfId="0" applyNumberFormat="1" applyFont="1" applyBorder="1" applyAlignment="1">
      <alignment vertical="center"/>
    </xf>
    <xf numFmtId="37" fontId="3" fillId="0" borderId="3" xfId="0" applyNumberFormat="1" applyFont="1" applyBorder="1" applyAlignment="1">
      <alignment vertical="center"/>
    </xf>
    <xf numFmtId="165" fontId="3" fillId="0" borderId="54" xfId="0" applyNumberFormat="1" applyFont="1" applyBorder="1" applyAlignment="1">
      <alignment vertical="center"/>
    </xf>
    <xf numFmtId="166" fontId="6" fillId="0" borderId="5" xfId="0" applyNumberFormat="1" applyFont="1" applyBorder="1" applyAlignment="1">
      <alignment vertical="center"/>
    </xf>
    <xf numFmtId="0" fontId="7" fillId="0" borderId="0" xfId="0" applyFont="1" applyAlignment="1">
      <alignment horizontal="center"/>
    </xf>
    <xf numFmtId="0" fontId="3" fillId="0" borderId="0" xfId="0" applyFont="1"/>
    <xf numFmtId="0" fontId="22" fillId="0" borderId="0" xfId="3" applyFont="1" applyAlignment="1">
      <alignment vertical="center"/>
    </xf>
    <xf numFmtId="37" fontId="2" fillId="0" borderId="78" xfId="0" applyNumberFormat="1" applyFont="1" applyBorder="1" applyAlignment="1">
      <alignment horizontal="right" vertical="center"/>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8" applyFont="1"/>
    <xf numFmtId="166" fontId="22" fillId="0" borderId="50" xfId="0" applyNumberFormat="1" applyFont="1" applyBorder="1" applyAlignment="1">
      <alignment vertical="center"/>
    </xf>
    <xf numFmtId="166" fontId="4" fillId="0" borderId="50" xfId="0" applyNumberFormat="1" applyFont="1" applyBorder="1" applyAlignment="1">
      <alignment vertical="center"/>
    </xf>
    <xf numFmtId="0" fontId="22" fillId="0" borderId="0" xfId="6" applyFont="1" applyAlignment="1">
      <alignment vertical="center"/>
    </xf>
    <xf numFmtId="0" fontId="22" fillId="0" borderId="0" xfId="0" applyFont="1" applyAlignment="1">
      <alignment horizontal="center"/>
    </xf>
    <xf numFmtId="5" fontId="4" fillId="0" borderId="0" xfId="6" applyNumberFormat="1" applyFont="1" applyAlignment="1" applyProtection="1">
      <alignment horizontal="center" vertical="center"/>
      <protection locked="0"/>
    </xf>
    <xf numFmtId="0" fontId="3" fillId="0" borderId="0" xfId="6" applyFont="1" applyAlignment="1">
      <alignment horizontal="center" vertical="center"/>
    </xf>
    <xf numFmtId="166" fontId="2" fillId="3" borderId="0" xfId="5" applyNumberFormat="1" applyFont="1" applyFill="1" applyAlignment="1" applyProtection="1">
      <alignment vertical="center"/>
      <protection locked="0"/>
    </xf>
    <xf numFmtId="43" fontId="2" fillId="0" borderId="50" xfId="5" applyFont="1" applyBorder="1" applyAlignment="1">
      <alignment vertical="center"/>
    </xf>
    <xf numFmtId="165" fontId="2" fillId="2" borderId="0" xfId="1" applyNumberFormat="1" applyFont="1" applyFill="1"/>
    <xf numFmtId="5" fontId="3" fillId="0" borderId="0" xfId="6" applyNumberFormat="1" applyFont="1" applyAlignment="1" applyProtection="1">
      <alignment horizontal="center" vertical="center"/>
      <protection locked="0"/>
    </xf>
    <xf numFmtId="165" fontId="2" fillId="0" borderId="0" xfId="0" applyNumberFormat="1" applyFont="1"/>
    <xf numFmtId="0" fontId="2" fillId="0" borderId="0" xfId="9" applyFont="1" applyAlignment="1">
      <alignment horizontal="center" vertical="center"/>
    </xf>
    <xf numFmtId="165" fontId="2" fillId="0" borderId="1" xfId="1" applyNumberFormat="1" applyFont="1" applyFill="1" applyBorder="1" applyAlignment="1">
      <alignment horizontal="right" vertical="center"/>
    </xf>
    <xf numFmtId="165" fontId="2" fillId="0" borderId="0" xfId="1" applyNumberFormat="1" applyFont="1" applyAlignment="1">
      <alignment horizontal="right" vertical="center"/>
    </xf>
    <xf numFmtId="166" fontId="2" fillId="2" borderId="0" xfId="5" applyNumberFormat="1" applyFont="1" applyFill="1" applyAlignment="1">
      <alignment horizontal="right" vertical="center"/>
    </xf>
    <xf numFmtId="167" fontId="2" fillId="0" borderId="0" xfId="2" applyNumberFormat="1" applyFont="1" applyFill="1" applyBorder="1"/>
    <xf numFmtId="165" fontId="2" fillId="0" borderId="80" xfId="0" applyNumberFormat="1" applyFont="1" applyBorder="1"/>
    <xf numFmtId="165" fontId="2" fillId="0" borderId="80" xfId="0" applyNumberFormat="1" applyFont="1" applyBorder="1" applyAlignment="1">
      <alignment vertical="center"/>
    </xf>
    <xf numFmtId="166" fontId="2" fillId="3" borderId="78" xfId="5" applyNumberFormat="1" applyFont="1" applyFill="1" applyBorder="1" applyAlignment="1">
      <alignment horizontal="right" vertical="center"/>
    </xf>
    <xf numFmtId="166" fontId="2" fillId="0" borderId="0" xfId="5" applyNumberFormat="1" applyFont="1" applyAlignment="1">
      <alignment horizontal="right" vertical="center"/>
    </xf>
    <xf numFmtId="43" fontId="2" fillId="0" borderId="78" xfId="5" applyFont="1" applyBorder="1" applyAlignment="1">
      <alignment horizontal="right" vertical="center"/>
    </xf>
    <xf numFmtId="165" fontId="2" fillId="0" borderId="0" xfId="0" applyNumberFormat="1" applyFont="1" applyAlignment="1">
      <alignment horizontal="left" vertical="center"/>
    </xf>
    <xf numFmtId="167" fontId="2" fillId="2" borderId="78" xfId="2" applyNumberFormat="1" applyFont="1" applyFill="1" applyBorder="1"/>
    <xf numFmtId="166" fontId="2" fillId="2" borderId="0" xfId="5" applyNumberFormat="1" applyFont="1" applyFill="1" applyAlignment="1">
      <alignment horizontal="center" vertical="center"/>
    </xf>
    <xf numFmtId="0" fontId="5" fillId="0" borderId="77" xfId="0" applyFont="1" applyBorder="1" applyAlignment="1">
      <alignment vertical="center"/>
    </xf>
    <xf numFmtId="166" fontId="2" fillId="2" borderId="78" xfId="5" applyNumberFormat="1" applyFont="1" applyFill="1" applyBorder="1" applyAlignment="1">
      <alignment horizontal="center" vertical="center"/>
    </xf>
    <xf numFmtId="10" fontId="2" fillId="4" borderId="0" xfId="0" applyNumberFormat="1" applyFont="1" applyFill="1" applyAlignment="1">
      <alignment horizontal="right" vertical="center"/>
    </xf>
    <xf numFmtId="198" fontId="2" fillId="0" borderId="0" xfId="0" applyNumberFormat="1" applyFont="1" applyAlignment="1">
      <alignment horizontal="right" vertical="center"/>
    </xf>
    <xf numFmtId="10" fontId="2" fillId="0" borderId="77" xfId="2" applyNumberFormat="1" applyFont="1" applyBorder="1" applyAlignment="1">
      <alignment horizontal="right" vertical="center"/>
    </xf>
    <xf numFmtId="167" fontId="2" fillId="0" borderId="1" xfId="0" applyNumberFormat="1" applyFont="1" applyBorder="1" applyAlignment="1">
      <alignment horizontal="right" vertical="center"/>
    </xf>
    <xf numFmtId="10" fontId="2" fillId="2" borderId="0" xfId="2" applyNumberFormat="1" applyFont="1" applyFill="1" applyAlignment="1">
      <alignment horizontal="right" vertical="center"/>
    </xf>
    <xf numFmtId="165" fontId="2" fillId="4" borderId="0" xfId="1" applyNumberFormat="1" applyFont="1" applyFill="1" applyAlignment="1">
      <alignment horizontal="right" vertical="center"/>
    </xf>
    <xf numFmtId="165" fontId="2" fillId="2" borderId="0" xfId="1" applyNumberFormat="1" applyFont="1" applyFill="1" applyAlignment="1">
      <alignment horizontal="right" vertical="center"/>
    </xf>
    <xf numFmtId="0" fontId="2" fillId="3" borderId="78" xfId="2" applyNumberFormat="1" applyFont="1" applyFill="1" applyBorder="1" applyAlignment="1">
      <alignment horizontal="right" vertical="center"/>
    </xf>
    <xf numFmtId="167" fontId="2" fillId="0" borderId="0" xfId="2" applyNumberFormat="1" applyFont="1" applyAlignment="1">
      <alignment horizontal="right" vertical="center"/>
    </xf>
    <xf numFmtId="165" fontId="2" fillId="0" borderId="0" xfId="1" applyNumberFormat="1" applyFont="1" applyFill="1" applyAlignment="1">
      <alignment horizontal="center" vertical="center"/>
    </xf>
    <xf numFmtId="167" fontId="2" fillId="0" borderId="0" xfId="2" applyNumberFormat="1" applyFont="1" applyFill="1" applyAlignment="1">
      <alignment horizontal="right" vertical="center"/>
    </xf>
    <xf numFmtId="9" fontId="2" fillId="0" borderId="0" xfId="2" applyFont="1" applyAlignment="1">
      <alignment horizontal="right" vertical="center"/>
    </xf>
    <xf numFmtId="167" fontId="2" fillId="0" borderId="78" xfId="2" applyNumberFormat="1" applyFont="1" applyBorder="1" applyAlignment="1">
      <alignment horizontal="right" vertical="center"/>
    </xf>
    <xf numFmtId="167" fontId="2" fillId="0" borderId="0" xfId="2" applyNumberFormat="1" applyFont="1" applyBorder="1" applyAlignment="1">
      <alignment horizontal="right" vertical="center"/>
    </xf>
    <xf numFmtId="167" fontId="2" fillId="0" borderId="1" xfId="2" applyNumberFormat="1" applyFont="1" applyBorder="1" applyAlignment="1">
      <alignment horizontal="right" vertical="center"/>
    </xf>
    <xf numFmtId="167" fontId="2" fillId="0" borderId="77" xfId="0" applyNumberFormat="1" applyFont="1" applyBorder="1" applyAlignment="1">
      <alignment horizontal="right" vertical="center"/>
    </xf>
    <xf numFmtId="165" fontId="2" fillId="3" borderId="0" xfId="1" applyNumberFormat="1" applyFont="1" applyFill="1" applyAlignment="1">
      <alignment horizontal="center" vertical="center"/>
    </xf>
    <xf numFmtId="165" fontId="2" fillId="2" borderId="0" xfId="1" applyNumberFormat="1" applyFont="1" applyFill="1" applyAlignment="1">
      <alignment horizontal="center" vertical="center"/>
    </xf>
    <xf numFmtId="9" fontId="2" fillId="2" borderId="78" xfId="2" applyFont="1" applyFill="1" applyBorder="1" applyAlignment="1">
      <alignment horizontal="right" vertical="center"/>
    </xf>
    <xf numFmtId="10" fontId="2" fillId="2" borderId="78" xfId="2" applyNumberFormat="1" applyFont="1" applyFill="1" applyBorder="1" applyAlignment="1">
      <alignment horizontal="right" vertical="center"/>
    </xf>
    <xf numFmtId="167" fontId="2" fillId="2" borderId="0" xfId="0" applyNumberFormat="1" applyFont="1" applyFill="1" applyAlignment="1">
      <alignment horizontal="right" vertical="center"/>
    </xf>
    <xf numFmtId="167" fontId="2" fillId="2" borderId="0" xfId="2" applyNumberFormat="1" applyFont="1" applyFill="1" applyBorder="1" applyAlignment="1" applyProtection="1">
      <alignment horizontal="right" vertical="center"/>
    </xf>
    <xf numFmtId="167" fontId="2" fillId="4" borderId="78" xfId="7" applyNumberFormat="1" applyFont="1" applyFill="1" applyBorder="1" applyAlignment="1">
      <alignment horizontal="right" vertical="center"/>
    </xf>
    <xf numFmtId="167" fontId="2" fillId="2" borderId="0" xfId="0" quotePrefix="1" applyNumberFormat="1" applyFont="1" applyFill="1" applyAlignment="1">
      <alignment horizontal="right" vertical="center"/>
    </xf>
    <xf numFmtId="167" fontId="2" fillId="2" borderId="78" xfId="2" applyNumberFormat="1" applyFont="1" applyFill="1" applyBorder="1" applyAlignment="1" applyProtection="1">
      <alignment horizontal="right" vertical="center"/>
    </xf>
    <xf numFmtId="10" fontId="2" fillId="3" borderId="0" xfId="0" applyNumberFormat="1" applyFont="1" applyFill="1" applyAlignment="1">
      <alignment horizontal="right" vertical="center"/>
    </xf>
    <xf numFmtId="165" fontId="2" fillId="0" borderId="1" xfId="1" applyNumberFormat="1" applyFont="1" applyBorder="1" applyAlignment="1">
      <alignment vertical="center"/>
    </xf>
    <xf numFmtId="167" fontId="2" fillId="2" borderId="78" xfId="2" applyNumberFormat="1" applyFont="1" applyFill="1" applyBorder="1" applyAlignment="1">
      <alignment horizontal="right" vertical="center"/>
    </xf>
    <xf numFmtId="165" fontId="2" fillId="3" borderId="1" xfId="1" applyNumberFormat="1" applyFont="1" applyFill="1" applyBorder="1" applyAlignment="1">
      <alignment vertical="center"/>
    </xf>
    <xf numFmtId="165" fontId="2" fillId="2" borderId="1" xfId="0" applyNumberFormat="1" applyFont="1" applyFill="1" applyBorder="1" applyAlignment="1">
      <alignment horizontal="right" vertical="center"/>
    </xf>
    <xf numFmtId="166" fontId="2" fillId="2" borderId="78" xfId="5" applyNumberFormat="1" applyFont="1" applyFill="1" applyBorder="1"/>
    <xf numFmtId="166" fontId="2" fillId="0" borderId="50" xfId="5" applyNumberFormat="1" applyFont="1" applyBorder="1" applyAlignment="1">
      <alignment vertical="center"/>
    </xf>
    <xf numFmtId="37" fontId="2" fillId="0" borderId="8" xfId="0" applyNumberFormat="1" applyFont="1" applyBorder="1" applyAlignment="1">
      <alignment vertical="center"/>
    </xf>
    <xf numFmtId="37" fontId="2" fillId="0" borderId="10" xfId="0" applyNumberFormat="1" applyFont="1" applyBorder="1" applyAlignment="1">
      <alignment vertical="center"/>
    </xf>
    <xf numFmtId="37" fontId="2" fillId="0" borderId="11" xfId="0" applyNumberFormat="1" applyFont="1" applyBorder="1" applyAlignment="1">
      <alignment vertical="center"/>
    </xf>
    <xf numFmtId="37" fontId="2" fillId="0" borderId="0" xfId="0" applyNumberFormat="1" applyFont="1" applyAlignment="1">
      <alignment horizontal="right" vertical="center"/>
    </xf>
    <xf numFmtId="165" fontId="2" fillId="0" borderId="0" xfId="1" applyNumberFormat="1" applyFont="1" applyFill="1" applyBorder="1" applyAlignment="1">
      <alignment horizontal="right" vertical="center"/>
    </xf>
    <xf numFmtId="37" fontId="2" fillId="0" borderId="0" xfId="0" applyNumberFormat="1" applyFont="1" applyAlignment="1">
      <alignment vertical="top"/>
    </xf>
    <xf numFmtId="37" fontId="2" fillId="0" borderId="0" xfId="0" applyNumberFormat="1" applyFont="1"/>
    <xf numFmtId="37" fontId="2" fillId="0" borderId="0" xfId="0" applyNumberFormat="1" applyFont="1" applyAlignment="1">
      <alignment vertical="center" wrapText="1"/>
    </xf>
    <xf numFmtId="43" fontId="4" fillId="0" borderId="0" xfId="0" applyNumberFormat="1" applyFont="1" applyAlignment="1">
      <alignment horizontal="right" vertical="center"/>
    </xf>
    <xf numFmtId="37" fontId="3" fillId="0" borderId="0" xfId="0" applyNumberFormat="1" applyFont="1" applyAlignment="1">
      <alignment horizontal="left" vertical="center"/>
    </xf>
    <xf numFmtId="37" fontId="4" fillId="0" borderId="0" xfId="0" applyNumberFormat="1" applyFont="1" applyAlignment="1">
      <alignment horizontal="right" vertical="center"/>
    </xf>
    <xf numFmtId="0" fontId="18" fillId="0" borderId="0" xfId="0" applyFont="1" applyAlignment="1">
      <alignment horizontal="left" vertical="center" indent="13"/>
    </xf>
    <xf numFmtId="166" fontId="2" fillId="0" borderId="0" xfId="5" applyNumberFormat="1" applyFont="1" applyBorder="1" applyAlignment="1">
      <alignment horizontal="right" vertical="center"/>
    </xf>
    <xf numFmtId="166" fontId="2" fillId="0" borderId="0" xfId="5" applyNumberFormat="1" applyFont="1" applyFill="1" applyBorder="1"/>
    <xf numFmtId="0" fontId="60" fillId="0" borderId="0" xfId="0" applyFont="1" applyAlignment="1">
      <alignment vertical="center" wrapText="1"/>
    </xf>
    <xf numFmtId="167" fontId="2" fillId="2" borderId="0" xfId="2" applyNumberFormat="1" applyFont="1" applyFill="1" applyAlignment="1">
      <alignment vertical="center"/>
    </xf>
    <xf numFmtId="165" fontId="2" fillId="2" borderId="78" xfId="1" applyNumberFormat="1" applyFont="1" applyFill="1" applyBorder="1" applyAlignment="1">
      <alignment horizontal="right" vertical="center"/>
    </xf>
    <xf numFmtId="167" fontId="2" fillId="2" borderId="0" xfId="2" applyNumberFormat="1" applyFont="1" applyFill="1" applyBorder="1" applyAlignment="1">
      <alignment horizontal="right" vertical="center"/>
    </xf>
    <xf numFmtId="167" fontId="2" fillId="2" borderId="0" xfId="2" quotePrefix="1" applyNumberFormat="1" applyFont="1" applyFill="1" applyAlignment="1">
      <alignment horizontal="right" vertical="center"/>
    </xf>
    <xf numFmtId="44" fontId="2" fillId="2" borderId="78" xfId="1" quotePrefix="1" applyFont="1" applyFill="1" applyBorder="1" applyAlignment="1">
      <alignment horizontal="right" vertical="center"/>
    </xf>
    <xf numFmtId="166" fontId="2" fillId="0" borderId="0" xfId="5" quotePrefix="1" applyNumberFormat="1" applyFont="1" applyFill="1" applyAlignment="1">
      <alignment horizontal="right" vertical="center"/>
    </xf>
    <xf numFmtId="44" fontId="2" fillId="0" borderId="0" xfId="1" applyFont="1" applyFill="1" applyBorder="1" applyAlignment="1">
      <alignment horizontal="right" vertical="center"/>
    </xf>
    <xf numFmtId="167" fontId="2" fillId="4" borderId="78" xfId="0" applyNumberFormat="1" applyFont="1" applyFill="1" applyBorder="1" applyAlignment="1">
      <alignment horizontal="right" vertical="center"/>
    </xf>
    <xf numFmtId="44" fontId="2" fillId="2" borderId="0" xfId="1" applyFont="1" applyFill="1" applyBorder="1" applyAlignment="1">
      <alignment horizontal="right" vertical="center"/>
    </xf>
    <xf numFmtId="166" fontId="2" fillId="3" borderId="78" xfId="0" applyNumberFormat="1" applyFont="1" applyFill="1" applyBorder="1" applyAlignment="1">
      <alignment horizontal="right" vertical="center"/>
    </xf>
    <xf numFmtId="165" fontId="2" fillId="0" borderId="78" xfId="0" applyNumberFormat="1" applyFont="1" applyBorder="1" applyAlignment="1">
      <alignment horizontal="right" vertical="center"/>
    </xf>
    <xf numFmtId="165" fontId="2" fillId="2" borderId="78" xfId="1" quotePrefix="1" applyNumberFormat="1" applyFont="1" applyFill="1" applyBorder="1" applyAlignment="1">
      <alignment horizontal="right" vertical="center"/>
    </xf>
    <xf numFmtId="166" fontId="2" fillId="2" borderId="78" xfId="0" applyNumberFormat="1" applyFont="1" applyFill="1" applyBorder="1" applyAlignment="1">
      <alignment horizontal="center" vertical="center"/>
    </xf>
    <xf numFmtId="166" fontId="2" fillId="0" borderId="0" xfId="5" applyNumberFormat="1" applyFont="1" applyFill="1"/>
    <xf numFmtId="44" fontId="2" fillId="0" borderId="0" xfId="1" applyFont="1" applyFill="1" applyBorder="1" applyAlignment="1">
      <alignment vertical="center"/>
    </xf>
    <xf numFmtId="165" fontId="2" fillId="0" borderId="16" xfId="1" applyNumberFormat="1" applyFont="1" applyBorder="1" applyAlignment="1">
      <alignment horizontal="right" vertical="center"/>
    </xf>
    <xf numFmtId="165" fontId="2" fillId="0" borderId="1" xfId="1" applyNumberFormat="1" applyFont="1" applyBorder="1" applyAlignment="1">
      <alignment horizontal="right" vertical="center"/>
    </xf>
    <xf numFmtId="10" fontId="2" fillId="2" borderId="0" xfId="0" applyNumberFormat="1" applyFont="1" applyFill="1" applyAlignment="1">
      <alignment vertical="center"/>
    </xf>
    <xf numFmtId="10" fontId="2" fillId="2" borderId="1" xfId="0" applyNumberFormat="1" applyFont="1" applyFill="1" applyBorder="1" applyAlignment="1">
      <alignment horizontal="right" vertical="center"/>
    </xf>
    <xf numFmtId="10" fontId="2" fillId="2" borderId="1" xfId="2" applyNumberFormat="1" applyFont="1" applyFill="1" applyBorder="1" applyAlignment="1">
      <alignment horizontal="right" vertical="center"/>
    </xf>
    <xf numFmtId="167" fontId="2" fillId="2" borderId="0" xfId="2" applyNumberFormat="1" applyFont="1" applyFill="1" applyAlignment="1">
      <alignment horizontal="right" vertical="center"/>
    </xf>
    <xf numFmtId="165" fontId="2" fillId="0" borderId="80" xfId="1" quotePrefix="1" applyNumberFormat="1" applyFont="1" applyFill="1" applyBorder="1" applyAlignment="1">
      <alignment horizontal="right" vertical="center"/>
    </xf>
    <xf numFmtId="44" fontId="2" fillId="0" borderId="80" xfId="1" applyFont="1" applyFill="1" applyBorder="1" applyAlignment="1">
      <alignment horizontal="right" vertical="center"/>
    </xf>
    <xf numFmtId="44" fontId="2" fillId="0" borderId="16" xfId="1" applyFont="1" applyFill="1" applyBorder="1" applyAlignment="1">
      <alignment horizontal="right" vertical="center"/>
    </xf>
    <xf numFmtId="5" fontId="22" fillId="0" borderId="0" xfId="0" applyNumberFormat="1" applyFont="1" applyAlignment="1">
      <alignment horizontal="left" vertical="center"/>
    </xf>
    <xf numFmtId="166" fontId="2" fillId="0" borderId="0" xfId="5" applyNumberFormat="1" applyFont="1" applyFill="1" applyAlignment="1">
      <alignment horizontal="right" vertical="center"/>
    </xf>
    <xf numFmtId="199" fontId="2" fillId="0" borderId="0" xfId="0" applyNumberFormat="1" applyFont="1" applyAlignment="1">
      <alignment vertical="center"/>
    </xf>
    <xf numFmtId="166" fontId="2" fillId="0" borderId="0" xfId="5" applyNumberFormat="1" applyFont="1" applyFill="1" applyBorder="1" applyAlignment="1">
      <alignment vertical="center"/>
    </xf>
    <xf numFmtId="165" fontId="2" fillId="0" borderId="0" xfId="1" applyNumberFormat="1" applyFont="1" applyAlignment="1">
      <alignment vertical="center"/>
    </xf>
    <xf numFmtId="166" fontId="22" fillId="2" borderId="78" xfId="0" applyNumberFormat="1" applyFont="1" applyFill="1" applyBorder="1" applyAlignment="1" applyProtection="1">
      <alignment vertical="center"/>
      <protection locked="0"/>
    </xf>
    <xf numFmtId="0" fontId="2" fillId="0" borderId="50" xfId="0" quotePrefix="1" applyFont="1" applyBorder="1" applyAlignment="1">
      <alignment horizontal="center" vertical="center"/>
    </xf>
    <xf numFmtId="1" fontId="22" fillId="0" borderId="0" xfId="0" applyNumberFormat="1" applyFont="1" applyAlignment="1">
      <alignment horizontal="center" vertical="center"/>
    </xf>
    <xf numFmtId="0" fontId="61" fillId="0" borderId="0" xfId="0" applyFont="1"/>
    <xf numFmtId="0" fontId="62" fillId="0" borderId="0" xfId="0" applyFont="1" applyAlignment="1">
      <alignment horizontal="center"/>
    </xf>
    <xf numFmtId="0" fontId="64" fillId="0" borderId="0" xfId="0" applyFont="1" applyAlignment="1">
      <alignment vertical="center"/>
    </xf>
    <xf numFmtId="166" fontId="2" fillId="2" borderId="0" xfId="5" applyNumberFormat="1" applyFont="1" applyFill="1" applyBorder="1" applyAlignment="1">
      <alignment horizontal="right" vertical="center"/>
    </xf>
    <xf numFmtId="166" fontId="3" fillId="2" borderId="0" xfId="0" applyNumberFormat="1" applyFont="1" applyFill="1" applyAlignment="1">
      <alignment vertical="center"/>
    </xf>
    <xf numFmtId="10" fontId="22" fillId="0" borderId="0" xfId="0" applyNumberFormat="1" applyFont="1" applyAlignment="1" applyProtection="1">
      <alignment vertical="center"/>
      <protection locked="0"/>
    </xf>
    <xf numFmtId="10" fontId="22" fillId="0" borderId="0" xfId="0" applyNumberFormat="1" applyFont="1" applyAlignment="1" applyProtection="1">
      <alignment horizontal="center" vertical="center"/>
      <protection locked="0"/>
    </xf>
    <xf numFmtId="5" fontId="4" fillId="0" borderId="0" xfId="0" applyNumberFormat="1" applyFont="1" applyAlignment="1" applyProtection="1">
      <alignment horizontal="center" vertical="center"/>
      <protection locked="0"/>
    </xf>
    <xf numFmtId="0" fontId="62" fillId="0" borderId="0" xfId="0" applyFont="1"/>
    <xf numFmtId="0" fontId="64" fillId="0" borderId="0" xfId="0" applyFont="1" applyAlignment="1">
      <alignment horizontal="center" vertical="center"/>
    </xf>
    <xf numFmtId="0" fontId="65" fillId="0" borderId="0" xfId="0" applyFont="1" applyAlignment="1">
      <alignment horizontal="center"/>
    </xf>
    <xf numFmtId="10" fontId="61" fillId="0" borderId="0" xfId="0" applyNumberFormat="1" applyFont="1"/>
    <xf numFmtId="0" fontId="61" fillId="0" borderId="0" xfId="0" applyFont="1" applyAlignment="1">
      <alignment horizontal="center"/>
    </xf>
    <xf numFmtId="0" fontId="63" fillId="0" borderId="0" xfId="0" quotePrefix="1" applyFont="1" applyAlignment="1">
      <alignment horizontal="center" vertical="center"/>
    </xf>
    <xf numFmtId="167" fontId="2" fillId="2" borderId="78" xfId="2" applyNumberFormat="1" applyFont="1" applyFill="1" applyBorder="1" applyAlignment="1" applyProtection="1">
      <alignment horizontal="right" vertical="center"/>
      <protection locked="0"/>
    </xf>
    <xf numFmtId="37" fontId="4" fillId="0" borderId="0" xfId="0" applyNumberFormat="1" applyFont="1" applyAlignment="1">
      <alignment vertical="center"/>
    </xf>
    <xf numFmtId="166" fontId="2" fillId="3" borderId="0" xfId="4" applyNumberFormat="1" applyFont="1" applyFill="1" applyBorder="1"/>
    <xf numFmtId="165" fontId="16" fillId="2" borderId="0" xfId="0" applyNumberFormat="1" applyFont="1" applyFill="1" applyAlignment="1" applyProtection="1">
      <alignment vertical="center"/>
      <protection locked="0"/>
    </xf>
    <xf numFmtId="166" fontId="16" fillId="2" borderId="0" xfId="0" applyNumberFormat="1" applyFont="1" applyFill="1" applyAlignment="1" applyProtection="1">
      <alignment horizontal="right" vertical="center"/>
      <protection locked="0"/>
    </xf>
    <xf numFmtId="166" fontId="2" fillId="2" borderId="0" xfId="5" applyNumberFormat="1" applyFont="1" applyFill="1" applyAlignment="1">
      <alignment vertical="center"/>
    </xf>
    <xf numFmtId="166" fontId="2" fillId="2" borderId="78" xfId="5" applyNumberFormat="1" applyFont="1" applyFill="1" applyBorder="1" applyAlignment="1">
      <alignment horizontal="right" vertical="center"/>
    </xf>
    <xf numFmtId="165" fontId="2" fillId="3" borderId="0" xfId="0" applyNumberFormat="1" applyFont="1" applyFill="1" applyAlignment="1" applyProtection="1">
      <alignment horizontal="center" vertical="center"/>
      <protection locked="0"/>
    </xf>
    <xf numFmtId="166" fontId="25" fillId="0" borderId="0" xfId="0" applyNumberFormat="1" applyFont="1" applyAlignment="1" applyProtection="1">
      <alignment vertical="center"/>
      <protection locked="0"/>
    </xf>
    <xf numFmtId="5" fontId="25" fillId="0" borderId="0" xfId="0" applyNumberFormat="1" applyFont="1" applyAlignment="1" applyProtection="1">
      <alignment horizontal="center" vertical="center"/>
      <protection locked="0"/>
    </xf>
    <xf numFmtId="166" fontId="2" fillId="2" borderId="78" xfId="0" applyNumberFormat="1" applyFont="1" applyFill="1" applyBorder="1" applyAlignment="1" applyProtection="1">
      <alignment vertical="center"/>
      <protection locked="0"/>
    </xf>
    <xf numFmtId="10" fontId="2" fillId="2" borderId="78" xfId="2" applyNumberFormat="1" applyFont="1" applyFill="1" applyBorder="1" applyAlignment="1" applyProtection="1">
      <alignment horizontal="right" vertical="center"/>
      <protection locked="0"/>
    </xf>
    <xf numFmtId="0" fontId="3" fillId="0" borderId="0" xfId="0" applyFont="1" applyAlignment="1">
      <alignment horizontal="centerContinuous"/>
    </xf>
    <xf numFmtId="0" fontId="66" fillId="0" borderId="0" xfId="0" applyFont="1" applyAlignment="1">
      <alignment horizontal="center"/>
    </xf>
    <xf numFmtId="0" fontId="66" fillId="0" borderId="0" xfId="0" applyFont="1"/>
    <xf numFmtId="0" fontId="67" fillId="0" borderId="0" xfId="0" applyFont="1" applyAlignment="1">
      <alignment horizontal="center"/>
    </xf>
    <xf numFmtId="0" fontId="66" fillId="0" borderId="78" xfId="0" applyFont="1" applyBorder="1" applyAlignment="1">
      <alignment horizontal="center"/>
    </xf>
    <xf numFmtId="0" fontId="47" fillId="0" borderId="0" xfId="0" applyFont="1" applyAlignment="1">
      <alignment horizontal="center"/>
    </xf>
    <xf numFmtId="165" fontId="47" fillId="0" borderId="16" xfId="1" applyNumberFormat="1" applyFont="1" applyBorder="1"/>
    <xf numFmtId="166" fontId="2" fillId="2" borderId="78" xfId="5" applyNumberFormat="1" applyFont="1" applyFill="1" applyBorder="1" applyAlignment="1">
      <alignment vertical="center"/>
    </xf>
    <xf numFmtId="10" fontId="2" fillId="2" borderId="78" xfId="2" applyNumberFormat="1" applyFont="1" applyFill="1" applyBorder="1" applyAlignment="1">
      <alignment vertical="center"/>
    </xf>
    <xf numFmtId="166" fontId="2" fillId="0" borderId="1" xfId="5" applyNumberFormat="1" applyFont="1" applyBorder="1" applyAlignment="1">
      <alignment vertical="center"/>
    </xf>
    <xf numFmtId="0" fontId="10" fillId="0" borderId="0" xfId="0" quotePrefix="1" applyFont="1" applyAlignment="1">
      <alignment horizontal="center" vertical="center"/>
    </xf>
    <xf numFmtId="165" fontId="2" fillId="0" borderId="78" xfId="1" applyNumberFormat="1" applyFont="1" applyBorder="1" applyAlignment="1">
      <alignment vertical="center"/>
    </xf>
    <xf numFmtId="165" fontId="2" fillId="3" borderId="0" xfId="1" applyNumberFormat="1" applyFont="1" applyFill="1" applyAlignment="1">
      <alignment vertical="center"/>
    </xf>
    <xf numFmtId="165" fontId="2" fillId="3" borderId="78" xfId="1" applyNumberFormat="1" applyFont="1" applyFill="1" applyBorder="1" applyAlignment="1">
      <alignment vertical="center"/>
    </xf>
    <xf numFmtId="165" fontId="2" fillId="0" borderId="0" xfId="1" applyNumberFormat="1" applyFont="1" applyFill="1" applyAlignment="1">
      <alignment horizontal="left" vertical="center"/>
    </xf>
    <xf numFmtId="10" fontId="2" fillId="2" borderId="0" xfId="2" applyNumberFormat="1" applyFont="1" applyFill="1" applyAlignment="1">
      <alignment vertical="center"/>
    </xf>
    <xf numFmtId="164" fontId="2" fillId="0" borderId="78" xfId="0" applyNumberFormat="1" applyFont="1" applyBorder="1" applyAlignment="1">
      <alignment horizontal="center" vertical="center"/>
    </xf>
    <xf numFmtId="14" fontId="2" fillId="0" borderId="78" xfId="0" applyNumberFormat="1" applyFont="1" applyBorder="1" applyAlignment="1">
      <alignment vertical="center"/>
    </xf>
    <xf numFmtId="14" fontId="2" fillId="0" borderId="78" xfId="0" applyNumberFormat="1" applyFont="1" applyBorder="1" applyAlignment="1">
      <alignment horizontal="center" vertical="center"/>
    </xf>
    <xf numFmtId="166" fontId="10" fillId="0" borderId="0" xfId="5" applyNumberFormat="1" applyFont="1" applyFill="1" applyAlignment="1">
      <alignment horizontal="center" vertical="center"/>
    </xf>
    <xf numFmtId="165" fontId="2" fillId="2" borderId="79" xfId="0" applyNumberFormat="1" applyFont="1" applyFill="1" applyBorder="1" applyAlignment="1">
      <alignment horizontal="right" vertical="center"/>
    </xf>
    <xf numFmtId="0" fontId="68" fillId="0" borderId="0" xfId="0" applyFont="1" applyAlignment="1">
      <alignment horizontal="center" vertical="center"/>
    </xf>
    <xf numFmtId="9" fontId="2" fillId="0" borderId="0" xfId="2" applyFont="1" applyAlignment="1">
      <alignment vertical="center"/>
    </xf>
    <xf numFmtId="49" fontId="2" fillId="0" borderId="8" xfId="0" applyNumberFormat="1" applyFont="1" applyBorder="1" applyAlignment="1">
      <alignment horizontal="center" vertical="center"/>
    </xf>
    <xf numFmtId="166" fontId="2" fillId="0" borderId="10" xfId="0" applyNumberFormat="1" applyFont="1" applyBorder="1" applyAlignment="1">
      <alignment vertical="center"/>
    </xf>
    <xf numFmtId="9" fontId="2" fillId="0" borderId="0" xfId="2" applyFont="1" applyBorder="1" applyAlignment="1">
      <alignment vertical="center"/>
    </xf>
    <xf numFmtId="166" fontId="3" fillId="2" borderId="78" xfId="0" applyNumberFormat="1" applyFont="1" applyFill="1" applyBorder="1" applyAlignment="1">
      <alignment horizontal="right" vertical="center"/>
    </xf>
    <xf numFmtId="166" fontId="2" fillId="2" borderId="0" xfId="0" applyNumberFormat="1" applyFont="1" applyFill="1" applyAlignment="1" applyProtection="1">
      <alignment vertical="center"/>
      <protection locked="0"/>
    </xf>
    <xf numFmtId="165" fontId="2" fillId="3" borderId="0" xfId="1" applyNumberFormat="1" applyFont="1" applyFill="1" applyAlignment="1" applyProtection="1">
      <alignment vertical="center"/>
      <protection locked="0"/>
    </xf>
    <xf numFmtId="165" fontId="2" fillId="2" borderId="16" xfId="1" applyNumberFormat="1" applyFont="1" applyFill="1" applyBorder="1" applyAlignment="1">
      <alignment vertical="center"/>
    </xf>
    <xf numFmtId="165" fontId="2" fillId="0" borderId="82" xfId="0" applyNumberFormat="1" applyFont="1" applyBorder="1" applyAlignment="1">
      <alignment vertical="center"/>
    </xf>
    <xf numFmtId="165" fontId="2" fillId="2" borderId="16" xfId="0" applyNumberFormat="1" applyFont="1" applyFill="1" applyBorder="1" applyAlignment="1">
      <alignment vertical="center"/>
    </xf>
    <xf numFmtId="10" fontId="2" fillId="0" borderId="78" xfId="0" applyNumberFormat="1" applyFont="1" applyBorder="1" applyAlignment="1" applyProtection="1">
      <alignment vertical="center"/>
      <protection locked="0"/>
    </xf>
    <xf numFmtId="10" fontId="2" fillId="0" borderId="78" xfId="0" applyNumberFormat="1" applyFont="1" applyBorder="1" applyAlignment="1" applyProtection="1">
      <alignment horizontal="center" vertical="center"/>
      <protection locked="0"/>
    </xf>
    <xf numFmtId="10" fontId="2" fillId="0" borderId="7" xfId="0" applyNumberFormat="1" applyFont="1" applyBorder="1" applyAlignment="1">
      <alignment horizontal="center" vertical="center"/>
    </xf>
    <xf numFmtId="10" fontId="3" fillId="3" borderId="47" xfId="0" applyNumberFormat="1" applyFont="1" applyFill="1" applyBorder="1" applyAlignment="1">
      <alignment horizontal="center" vertical="center"/>
    </xf>
    <xf numFmtId="10" fontId="3" fillId="3" borderId="7" xfId="0" applyNumberFormat="1" applyFont="1" applyFill="1" applyBorder="1" applyAlignment="1">
      <alignment horizontal="center" vertical="center"/>
    </xf>
    <xf numFmtId="169" fontId="3" fillId="3" borderId="7" xfId="0" applyNumberFormat="1" applyFont="1" applyFill="1" applyBorder="1" applyAlignment="1">
      <alignment horizontal="center" vertical="center"/>
    </xf>
    <xf numFmtId="165" fontId="2" fillId="3" borderId="78" xfId="0" applyNumberFormat="1" applyFont="1" applyFill="1" applyBorder="1" applyAlignment="1" applyProtection="1">
      <alignment horizontal="center" vertical="center"/>
      <protection locked="0"/>
    </xf>
    <xf numFmtId="166" fontId="2" fillId="2" borderId="0" xfId="4" applyNumberFormat="1" applyFont="1" applyFill="1" applyBorder="1"/>
    <xf numFmtId="165" fontId="47" fillId="3" borderId="0" xfId="1" applyNumberFormat="1" applyFont="1" applyFill="1"/>
    <xf numFmtId="10" fontId="47" fillId="2" borderId="0" xfId="2" applyNumberFormat="1" applyFont="1" applyFill="1"/>
    <xf numFmtId="10" fontId="47" fillId="2" borderId="47" xfId="0" applyNumberFormat="1" applyFont="1" applyFill="1" applyBorder="1"/>
    <xf numFmtId="0" fontId="11" fillId="0" borderId="0" xfId="0" quotePrefix="1" applyFont="1" applyAlignment="1">
      <alignment horizontal="left" vertical="center"/>
    </xf>
    <xf numFmtId="165" fontId="2" fillId="3" borderId="0" xfId="0" applyNumberFormat="1" applyFont="1" applyFill="1" applyAlignment="1">
      <alignment horizontal="left" vertical="center"/>
    </xf>
    <xf numFmtId="166" fontId="2" fillId="0" borderId="79" xfId="0" applyNumberFormat="1" applyFont="1" applyBorder="1" applyAlignment="1">
      <alignment vertical="center"/>
    </xf>
    <xf numFmtId="0" fontId="72" fillId="0" borderId="0" xfId="0" applyFont="1"/>
    <xf numFmtId="166" fontId="2" fillId="3" borderId="0" xfId="5" applyNumberFormat="1" applyFont="1" applyFill="1" applyBorder="1" applyAlignment="1">
      <alignment horizontal="left" vertical="center" wrapText="1"/>
    </xf>
    <xf numFmtId="0" fontId="2" fillId="2" borderId="0" xfId="0" applyFont="1" applyFill="1" applyAlignment="1">
      <alignment horizontal="left" vertical="center" wrapText="1"/>
    </xf>
    <xf numFmtId="166" fontId="2" fillId="4" borderId="0" xfId="0" applyNumberFormat="1" applyFont="1" applyFill="1" applyAlignment="1">
      <alignment horizontal="left" vertical="center"/>
    </xf>
    <xf numFmtId="10" fontId="2" fillId="0" borderId="1" xfId="0" applyNumberFormat="1" applyFont="1" applyBorder="1" applyAlignment="1">
      <alignment vertical="center"/>
    </xf>
    <xf numFmtId="10" fontId="2" fillId="4" borderId="78" xfId="0" applyNumberFormat="1" applyFont="1" applyFill="1" applyBorder="1" applyAlignment="1">
      <alignment vertical="center"/>
    </xf>
    <xf numFmtId="0" fontId="10" fillId="0" borderId="0" xfId="0" applyFont="1" applyAlignment="1">
      <alignment horizontal="center" vertical="center"/>
    </xf>
    <xf numFmtId="10" fontId="2" fillId="2" borderId="1" xfId="0" applyNumberFormat="1" applyFont="1" applyFill="1" applyBorder="1" applyAlignment="1">
      <alignment vertical="center"/>
    </xf>
    <xf numFmtId="0" fontId="74" fillId="0" borderId="0" xfId="0" applyFont="1" applyAlignment="1">
      <alignment vertical="center"/>
    </xf>
    <xf numFmtId="171" fontId="74" fillId="0" borderId="0" xfId="5" applyNumberFormat="1" applyFont="1" applyAlignment="1">
      <alignment vertical="center"/>
    </xf>
    <xf numFmtId="171" fontId="74" fillId="0" borderId="0" xfId="0" applyNumberFormat="1" applyFont="1" applyAlignment="1">
      <alignment vertical="center"/>
    </xf>
    <xf numFmtId="171" fontId="75" fillId="0" borderId="0" xfId="5" applyNumberFormat="1" applyFont="1"/>
    <xf numFmtId="37" fontId="16" fillId="0" borderId="0" xfId="0" applyNumberFormat="1" applyFont="1" applyAlignment="1">
      <alignment vertical="center"/>
    </xf>
    <xf numFmtId="37" fontId="16" fillId="0" borderId="0" xfId="0" applyNumberFormat="1" applyFont="1" applyAlignment="1">
      <alignment vertical="top"/>
    </xf>
    <xf numFmtId="37" fontId="16" fillId="0" borderId="78" xfId="0" applyNumberFormat="1" applyFont="1" applyBorder="1" applyAlignment="1">
      <alignment vertical="center"/>
    </xf>
    <xf numFmtId="0" fontId="75" fillId="0" borderId="0" xfId="0" applyFont="1"/>
    <xf numFmtId="165" fontId="3" fillId="3" borderId="0" xfId="0" applyNumberFormat="1" applyFont="1" applyFill="1" applyAlignment="1" applyProtection="1">
      <alignment vertical="center"/>
      <protection locked="0"/>
    </xf>
    <xf numFmtId="0" fontId="3" fillId="0" borderId="79" xfId="0" applyFont="1" applyBorder="1" applyAlignment="1">
      <alignment vertical="center"/>
    </xf>
    <xf numFmtId="166" fontId="3" fillId="3" borderId="0" xfId="0" applyNumberFormat="1" applyFont="1" applyFill="1" applyAlignment="1" applyProtection="1">
      <alignment vertical="center"/>
      <protection locked="0"/>
    </xf>
    <xf numFmtId="3" fontId="3" fillId="0" borderId="3" xfId="0" applyNumberFormat="1" applyFont="1" applyBorder="1" applyAlignment="1">
      <alignment horizontal="right" vertical="center"/>
    </xf>
    <xf numFmtId="3" fontId="2" fillId="0" borderId="3" xfId="0" applyNumberFormat="1" applyFont="1" applyBorder="1" applyAlignment="1">
      <alignment vertical="center"/>
    </xf>
    <xf numFmtId="3" fontId="3" fillId="0" borderId="54" xfId="0" applyNumberFormat="1" applyFont="1" applyBorder="1" applyAlignment="1">
      <alignment vertical="center"/>
    </xf>
    <xf numFmtId="0" fontId="3" fillId="0" borderId="4" xfId="0" applyFont="1" applyBorder="1" applyAlignment="1">
      <alignment horizontal="centerContinuous" vertical="center"/>
    </xf>
    <xf numFmtId="3" fontId="3" fillId="0" borderId="5" xfId="0" applyNumberFormat="1" applyFont="1" applyBorder="1" applyAlignment="1">
      <alignment horizontal="right" vertical="center"/>
    </xf>
    <xf numFmtId="3" fontId="2" fillId="0" borderId="54" xfId="0" applyNumberFormat="1" applyFont="1" applyBorder="1" applyAlignment="1">
      <alignment vertical="center"/>
    </xf>
    <xf numFmtId="3" fontId="2" fillId="0" borderId="53" xfId="0" applyNumberFormat="1" applyFont="1" applyBorder="1" applyAlignment="1">
      <alignment vertical="center"/>
    </xf>
    <xf numFmtId="3" fontId="3" fillId="0" borderId="54" xfId="0" applyNumberFormat="1" applyFont="1" applyBorder="1" applyAlignment="1">
      <alignment horizontal="right" vertical="center"/>
    </xf>
    <xf numFmtId="0" fontId="3" fillId="0" borderId="4" xfId="0" quotePrefix="1" applyFont="1" applyBorder="1" applyAlignment="1">
      <alignment horizontal="centerContinuous" vertical="center"/>
    </xf>
    <xf numFmtId="3" fontId="3" fillId="0" borderId="53" xfId="0" applyNumberFormat="1" applyFont="1" applyBorder="1" applyAlignment="1">
      <alignment horizontal="right" vertical="center"/>
    </xf>
    <xf numFmtId="10" fontId="3" fillId="0" borderId="47" xfId="0" applyNumberFormat="1" applyFont="1" applyBorder="1" applyAlignment="1">
      <alignment horizontal="center" vertical="center"/>
    </xf>
    <xf numFmtId="10" fontId="3" fillId="0" borderId="7" xfId="0" applyNumberFormat="1" applyFont="1" applyBorder="1" applyAlignment="1">
      <alignment horizontal="center" vertical="center"/>
    </xf>
    <xf numFmtId="10" fontId="2" fillId="3" borderId="78" xfId="0" applyNumberFormat="1" applyFont="1" applyFill="1" applyBorder="1" applyAlignment="1">
      <alignment horizontal="center" vertical="center"/>
    </xf>
    <xf numFmtId="10" fontId="2" fillId="3" borderId="6" xfId="0" applyNumberFormat="1" applyFont="1" applyFill="1" applyBorder="1" applyAlignment="1">
      <alignment horizontal="center" vertical="center"/>
    </xf>
    <xf numFmtId="166" fontId="2" fillId="0" borderId="78" xfId="5" applyNumberFormat="1" applyFont="1" applyFill="1" applyBorder="1" applyAlignment="1">
      <alignment horizontal="right" vertical="center"/>
    </xf>
    <xf numFmtId="43" fontId="2" fillId="0" borderId="0" xfId="5" applyFont="1" applyFill="1" applyAlignment="1">
      <alignment horizontal="right" vertical="center"/>
    </xf>
    <xf numFmtId="166" fontId="2" fillId="0" borderId="50" xfId="5" applyNumberFormat="1" applyFont="1" applyFill="1" applyBorder="1" applyAlignment="1">
      <alignment vertical="center"/>
    </xf>
    <xf numFmtId="183" fontId="3" fillId="0" borderId="79" xfId="0" quotePrefix="1" applyNumberFormat="1" applyFont="1" applyBorder="1" applyAlignment="1">
      <alignment horizontal="center" vertical="center"/>
    </xf>
    <xf numFmtId="0" fontId="74" fillId="0" borderId="0" xfId="0" applyFont="1" applyAlignment="1">
      <alignment vertical="center" wrapText="1"/>
    </xf>
    <xf numFmtId="167" fontId="74" fillId="0" borderId="0" xfId="0" applyNumberFormat="1" applyFont="1" applyAlignment="1">
      <alignment horizontal="right" vertical="center"/>
    </xf>
    <xf numFmtId="167" fontId="74" fillId="0" borderId="0" xfId="2" applyNumberFormat="1" applyFont="1" applyAlignment="1">
      <alignment vertical="center"/>
    </xf>
    <xf numFmtId="167" fontId="74" fillId="0" borderId="0" xfId="0" applyNumberFormat="1" applyFont="1" applyAlignment="1">
      <alignment vertical="center"/>
    </xf>
    <xf numFmtId="0" fontId="77" fillId="0" borderId="0" xfId="0" applyFont="1"/>
    <xf numFmtId="0" fontId="3" fillId="0" borderId="0" xfId="0" quotePrefix="1" applyFont="1" applyAlignment="1">
      <alignment horizontal="center" vertical="center"/>
    </xf>
    <xf numFmtId="0" fontId="3" fillId="0" borderId="0" xfId="0" applyFont="1" applyAlignment="1">
      <alignment vertical="center"/>
    </xf>
    <xf numFmtId="0" fontId="3" fillId="3" borderId="0" xfId="0" applyFont="1" applyFill="1" applyAlignment="1">
      <alignment horizontal="center" vertical="center"/>
    </xf>
    <xf numFmtId="0" fontId="3" fillId="3" borderId="0" xfId="0" applyFont="1" applyFill="1" applyAlignment="1">
      <alignment vertical="center"/>
    </xf>
    <xf numFmtId="0" fontId="3" fillId="0" borderId="0" xfId="0" applyFont="1" applyAlignment="1">
      <alignment horizontal="center" vertical="center"/>
    </xf>
    <xf numFmtId="0" fontId="2" fillId="0" borderId="0" xfId="0" applyFont="1" applyAlignment="1">
      <alignment vertical="center"/>
    </xf>
    <xf numFmtId="0" fontId="3" fillId="2" borderId="0" xfId="0" applyFont="1" applyFill="1" applyAlignment="1">
      <alignment horizontal="center" vertical="center"/>
    </xf>
    <xf numFmtId="0" fontId="3" fillId="2" borderId="0" xfId="0" applyFont="1" applyFill="1" applyAlignment="1">
      <alignment vertical="center"/>
    </xf>
    <xf numFmtId="0" fontId="2" fillId="3" borderId="0" xfId="0" applyFont="1" applyFill="1" applyAlignment="1">
      <alignment vertical="center"/>
    </xf>
    <xf numFmtId="0" fontId="2" fillId="0" borderId="0" xfId="0" applyFont="1" applyAlignment="1">
      <alignment horizontal="left" vertical="center"/>
    </xf>
    <xf numFmtId="0" fontId="2" fillId="0" borderId="78" xfId="0" applyFont="1" applyBorder="1" applyAlignment="1">
      <alignment horizontal="center" vertical="center"/>
    </xf>
    <xf numFmtId="166" fontId="3" fillId="0" borderId="0" xfId="0" applyNumberFormat="1" applyFont="1" applyAlignment="1">
      <alignment horizontal="center" vertical="center"/>
    </xf>
    <xf numFmtId="0" fontId="2" fillId="0" borderId="0" xfId="0" applyFont="1" applyAlignment="1">
      <alignment horizontal="center" vertical="center"/>
    </xf>
    <xf numFmtId="37" fontId="3" fillId="0" borderId="0" xfId="0" applyNumberFormat="1" applyFont="1" applyAlignment="1">
      <alignment horizontal="center" vertical="center"/>
    </xf>
    <xf numFmtId="37" fontId="3" fillId="0" borderId="0" xfId="0" quotePrefix="1" applyNumberFormat="1" applyFont="1" applyAlignment="1">
      <alignment horizontal="center" vertical="center"/>
    </xf>
    <xf numFmtId="5" fontId="3" fillId="0" borderId="0" xfId="0" quotePrefix="1" applyNumberFormat="1" applyFont="1" applyAlignment="1">
      <alignment horizontal="center" vertical="center"/>
    </xf>
    <xf numFmtId="0" fontId="3" fillId="0" borderId="80" xfId="0" applyFont="1" applyBorder="1" applyAlignment="1">
      <alignment horizontal="left" vertical="center"/>
    </xf>
    <xf numFmtId="0" fontId="2" fillId="0" borderId="6" xfId="0" applyFont="1" applyBorder="1" applyAlignment="1">
      <alignment horizontal="left" vertical="center"/>
    </xf>
    <xf numFmtId="0" fontId="2" fillId="3" borderId="0" xfId="0" applyFont="1" applyFill="1" applyAlignment="1">
      <alignment horizontal="center" vertical="center"/>
    </xf>
    <xf numFmtId="0" fontId="3" fillId="0" borderId="7" xfId="0" applyFont="1" applyBorder="1" applyAlignment="1">
      <alignment horizontal="center" vertical="center"/>
    </xf>
    <xf numFmtId="0" fontId="3" fillId="0" borderId="80" xfId="0" applyFont="1" applyBorder="1" applyAlignment="1">
      <alignment horizontal="center" vertical="center"/>
    </xf>
    <xf numFmtId="0" fontId="3" fillId="0" borderId="6" xfId="0" applyFont="1" applyBorder="1" applyAlignment="1">
      <alignment horizontal="center" vertical="center"/>
    </xf>
    <xf numFmtId="0" fontId="18" fillId="0" borderId="0" xfId="0" applyFont="1" applyAlignment="1">
      <alignment horizontal="center" vertical="center"/>
    </xf>
    <xf numFmtId="0" fontId="18" fillId="0" borderId="0" xfId="0" quotePrefix="1" applyFont="1" applyAlignment="1">
      <alignment horizontal="center" vertical="center"/>
    </xf>
    <xf numFmtId="0" fontId="18" fillId="0" borderId="7" xfId="0" applyFont="1" applyBorder="1" applyAlignment="1">
      <alignment horizontal="center" vertical="center"/>
    </xf>
    <xf numFmtId="0" fontId="18" fillId="0" borderId="80" xfId="0" applyFont="1" applyBorder="1" applyAlignment="1">
      <alignment horizontal="center" vertical="center"/>
    </xf>
    <xf numFmtId="0" fontId="18" fillId="0" borderId="6" xfId="0" applyFont="1" applyBorder="1" applyAlignment="1">
      <alignment horizontal="center" vertical="center"/>
    </xf>
    <xf numFmtId="0" fontId="18" fillId="3" borderId="0" xfId="0" applyFont="1" applyFill="1" applyAlignment="1">
      <alignment horizontal="center" vertical="center"/>
    </xf>
    <xf numFmtId="6" fontId="3" fillId="0" borderId="0" xfId="0" quotePrefix="1" applyNumberFormat="1" applyFont="1" applyAlignment="1">
      <alignment horizontal="center" vertical="center"/>
    </xf>
    <xf numFmtId="0" fontId="2" fillId="0" borderId="0" xfId="0" applyFont="1" applyAlignment="1">
      <alignment horizontal="left" vertical="center" wrapText="1"/>
    </xf>
    <xf numFmtId="5" fontId="3" fillId="0" borderId="0" xfId="0" applyNumberFormat="1" applyFont="1" applyAlignment="1">
      <alignment horizontal="center" vertical="center"/>
    </xf>
    <xf numFmtId="0" fontId="2" fillId="0" borderId="0" xfId="0" quotePrefix="1" applyFont="1" applyAlignment="1">
      <alignment horizontal="center" vertical="center"/>
    </xf>
    <xf numFmtId="0" fontId="40" fillId="0" borderId="0" xfId="0" quotePrefix="1" applyFont="1" applyAlignment="1">
      <alignment horizontal="center" vertical="center"/>
    </xf>
    <xf numFmtId="166" fontId="41" fillId="0" borderId="39" xfId="0" applyNumberFormat="1" applyFont="1" applyBorder="1" applyAlignment="1">
      <alignment horizontal="center"/>
    </xf>
    <xf numFmtId="166" fontId="41" fillId="0" borderId="28" xfId="0" applyNumberFormat="1" applyFont="1" applyBorder="1" applyAlignment="1">
      <alignment horizontal="center"/>
    </xf>
    <xf numFmtId="166" fontId="41" fillId="0" borderId="29" xfId="0" applyNumberFormat="1" applyFont="1" applyBorder="1" applyAlignment="1">
      <alignment horizontal="center"/>
    </xf>
    <xf numFmtId="166" fontId="11" fillId="0" borderId="39" xfId="0" applyNumberFormat="1" applyFont="1" applyBorder="1" applyAlignment="1">
      <alignment horizontal="center"/>
    </xf>
    <xf numFmtId="166" fontId="11" fillId="0" borderId="28" xfId="0" applyNumberFormat="1" applyFont="1" applyBorder="1" applyAlignment="1">
      <alignment horizontal="center"/>
    </xf>
    <xf numFmtId="166" fontId="11" fillId="0" borderId="29" xfId="0" applyNumberFormat="1" applyFont="1" applyBorder="1" applyAlignment="1">
      <alignment horizontal="center"/>
    </xf>
    <xf numFmtId="0" fontId="3" fillId="0" borderId="0" xfId="6" applyFont="1" applyAlignment="1">
      <alignment horizontal="center" vertical="center"/>
    </xf>
    <xf numFmtId="0" fontId="3" fillId="0" borderId="0" xfId="6" applyFont="1" applyAlignment="1">
      <alignment vertical="center"/>
    </xf>
    <xf numFmtId="0" fontId="2" fillId="0" borderId="0" xfId="6" applyFont="1" applyAlignment="1">
      <alignment vertical="center"/>
    </xf>
    <xf numFmtId="0" fontId="3" fillId="2" borderId="0" xfId="6" applyFont="1" applyFill="1" applyAlignment="1">
      <alignment horizontal="center" vertical="center"/>
    </xf>
    <xf numFmtId="0" fontId="3" fillId="2" borderId="0" xfId="6" applyFont="1" applyFill="1" applyAlignment="1">
      <alignment vertical="center"/>
    </xf>
    <xf numFmtId="0" fontId="3" fillId="0" borderId="0" xfId="6" quotePrefix="1" applyFont="1" applyAlignment="1">
      <alignment horizontal="center" vertical="center"/>
    </xf>
    <xf numFmtId="0" fontId="18" fillId="2" borderId="0" xfId="0" applyFont="1" applyFill="1" applyAlignment="1">
      <alignment horizontal="center" vertical="center"/>
    </xf>
    <xf numFmtId="5" fontId="18" fillId="0" borderId="0" xfId="0" quotePrefix="1" applyNumberFormat="1" applyFont="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0" xfId="0" applyFont="1" applyAlignment="1">
      <alignment horizontal="left" vertical="top" wrapText="1"/>
    </xf>
    <xf numFmtId="0" fontId="7" fillId="0" borderId="0" xfId="0" applyFont="1" applyAlignment="1">
      <alignment horizontal="center" vertical="top"/>
    </xf>
  </cellXfs>
  <cellStyles count="10">
    <cellStyle name="Comma" xfId="5" builtinId="3"/>
    <cellStyle name="Comma 2 10 2" xfId="4" xr:uid="{8BF09D7A-457F-4AD8-B821-566D04E79DA9}"/>
    <cellStyle name="Currency" xfId="1" builtinId="4"/>
    <cellStyle name="Normal" xfId="0" builtinId="0"/>
    <cellStyle name="Normal 2" xfId="3" xr:uid="{EA1BDBBD-80C0-4EC3-9FD8-12009108C041}"/>
    <cellStyle name="Normal 2 2 2 2" xfId="8" xr:uid="{44F21A14-8541-4FAB-A64C-7BAD27FD1B83}"/>
    <cellStyle name="Normal 9" xfId="6" xr:uid="{CE561EDF-5522-406D-857E-610FE101F8E5}"/>
    <cellStyle name="Normal 9 8" xfId="9" xr:uid="{0B9270D8-AC41-4DD8-9B5E-B4D9B9E099A0}"/>
    <cellStyle name="Percent" xfId="2" builtinId="5"/>
    <cellStyle name="Percent 3" xfId="7" xr:uid="{748E575F-3EE5-4BFE-9C65-4B322766B0FE}"/>
  </cellStyles>
  <dxfs count="0"/>
  <tableStyles count="1" defaultTableStyle="TableStyleMedium2" defaultPivotStyle="PivotStyleLight16">
    <tableStyle name="Invisible" pivot="0" table="0" count="0" xr9:uid="{862A6FA9-1B11-4A14-9168-719892295C9D}"/>
  </tableStyles>
  <colors>
    <mruColors>
      <color rgb="FFCCCCFF"/>
      <color rgb="FFCCFFCC"/>
      <color rgb="FF0000FF"/>
      <color rgb="FF993366"/>
      <color rgb="FFFF00FF"/>
      <color rgb="FFFF99FF"/>
      <color rgb="FFCC99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customXml" Target="../customXml/item2.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108"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0</xdr:col>
      <xdr:colOff>238125</xdr:colOff>
      <xdr:row>26</xdr:row>
      <xdr:rowOff>107156</xdr:rowOff>
    </xdr:from>
    <xdr:ext cx="184731" cy="264560"/>
    <xdr:sp macro="" textlink="">
      <xdr:nvSpPr>
        <xdr:cNvPr id="2" name="TextBox 1">
          <a:extLst>
            <a:ext uri="{FF2B5EF4-FFF2-40B4-BE49-F238E27FC236}">
              <a16:creationId xmlns:a16="http://schemas.microsoft.com/office/drawing/2014/main" id="{00000000-0008-0000-3500-000002000000}"/>
            </a:ext>
          </a:extLst>
        </xdr:cNvPr>
        <xdr:cNvSpPr txBox="1"/>
      </xdr:nvSpPr>
      <xdr:spPr>
        <a:xfrm>
          <a:off x="238125" y="86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26</xdr:row>
      <xdr:rowOff>107156</xdr:rowOff>
    </xdr:from>
    <xdr:ext cx="184731" cy="264560"/>
    <xdr:sp macro="" textlink="">
      <xdr:nvSpPr>
        <xdr:cNvPr id="3" name="TextBox 2">
          <a:extLst>
            <a:ext uri="{FF2B5EF4-FFF2-40B4-BE49-F238E27FC236}">
              <a16:creationId xmlns:a16="http://schemas.microsoft.com/office/drawing/2014/main" id="{00000000-0008-0000-3500-000003000000}"/>
            </a:ext>
          </a:extLst>
        </xdr:cNvPr>
        <xdr:cNvSpPr txBox="1"/>
      </xdr:nvSpPr>
      <xdr:spPr>
        <a:xfrm>
          <a:off x="857250" y="10378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0</xdr:colOff>
      <xdr:row>26</xdr:row>
      <xdr:rowOff>107156</xdr:rowOff>
    </xdr:from>
    <xdr:ext cx="184731" cy="264560"/>
    <xdr:sp macro="" textlink="">
      <xdr:nvSpPr>
        <xdr:cNvPr id="4" name="TextBox 3">
          <a:extLst>
            <a:ext uri="{FF2B5EF4-FFF2-40B4-BE49-F238E27FC236}">
              <a16:creationId xmlns:a16="http://schemas.microsoft.com/office/drawing/2014/main" id="{00000000-0008-0000-3500-000004000000}"/>
            </a:ext>
          </a:extLst>
        </xdr:cNvPr>
        <xdr:cNvSpPr txBox="1"/>
      </xdr:nvSpPr>
      <xdr:spPr>
        <a:xfrm>
          <a:off x="603250" y="10378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238125</xdr:colOff>
      <xdr:row>26</xdr:row>
      <xdr:rowOff>107156</xdr:rowOff>
    </xdr:from>
    <xdr:ext cx="184731" cy="264560"/>
    <xdr:sp macro="" textlink="">
      <xdr:nvSpPr>
        <xdr:cNvPr id="5" name="TextBox 4">
          <a:extLst>
            <a:ext uri="{FF2B5EF4-FFF2-40B4-BE49-F238E27FC236}">
              <a16:creationId xmlns:a16="http://schemas.microsoft.com/office/drawing/2014/main" id="{00000000-0008-0000-3500-000005000000}"/>
            </a:ext>
          </a:extLst>
        </xdr:cNvPr>
        <xdr:cNvSpPr txBox="1"/>
      </xdr:nvSpPr>
      <xdr:spPr>
        <a:xfrm>
          <a:off x="238125" y="10378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1531939</xdr:colOff>
      <xdr:row>117</xdr:row>
      <xdr:rowOff>9525</xdr:rowOff>
    </xdr:from>
    <xdr:to>
      <xdr:col>1</xdr:col>
      <xdr:colOff>3581077</xdr:colOff>
      <xdr:row>117</xdr:row>
      <xdr:rowOff>9525</xdr:rowOff>
    </xdr:to>
    <xdr:sp macro="" textlink="">
      <xdr:nvSpPr>
        <xdr:cNvPr id="10" name="Line 1">
          <a:extLst>
            <a:ext uri="{FF2B5EF4-FFF2-40B4-BE49-F238E27FC236}">
              <a16:creationId xmlns:a16="http://schemas.microsoft.com/office/drawing/2014/main" id="{00000000-0008-0000-3F00-00000A000000}"/>
            </a:ext>
          </a:extLst>
        </xdr:cNvPr>
        <xdr:cNvSpPr>
          <a:spLocks noChangeShapeType="1"/>
        </xdr:cNvSpPr>
      </xdr:nvSpPr>
      <xdr:spPr bwMode="auto">
        <a:xfrm>
          <a:off x="1897064" y="18702338"/>
          <a:ext cx="2049138" cy="0"/>
        </a:xfrm>
        <a:prstGeom prst="line">
          <a:avLst/>
        </a:prstGeom>
        <a:noFill/>
        <a:ln w="9525">
          <a:solidFill>
            <a:srgbClr val="000000"/>
          </a:solidFill>
          <a:round/>
          <a:headEnd/>
          <a:tailEnd/>
        </a:ln>
      </xdr:spPr>
    </xdr:sp>
    <xdr:clientData/>
  </xdr:twoCellAnchor>
  <xdr:twoCellAnchor>
    <xdr:from>
      <xdr:col>1</xdr:col>
      <xdr:colOff>1389067</xdr:colOff>
      <xdr:row>129</xdr:row>
      <xdr:rowOff>200024</xdr:rowOff>
    </xdr:from>
    <xdr:to>
      <xdr:col>2</xdr:col>
      <xdr:colOff>0</xdr:colOff>
      <xdr:row>130</xdr:row>
      <xdr:rowOff>9525</xdr:rowOff>
    </xdr:to>
    <xdr:sp macro="" textlink="">
      <xdr:nvSpPr>
        <xdr:cNvPr id="11" name="Line 2">
          <a:extLst>
            <a:ext uri="{FF2B5EF4-FFF2-40B4-BE49-F238E27FC236}">
              <a16:creationId xmlns:a16="http://schemas.microsoft.com/office/drawing/2014/main" id="{00000000-0008-0000-3F00-00000B000000}"/>
            </a:ext>
          </a:extLst>
        </xdr:cNvPr>
        <xdr:cNvSpPr>
          <a:spLocks noChangeShapeType="1"/>
        </xdr:cNvSpPr>
      </xdr:nvSpPr>
      <xdr:spPr bwMode="auto">
        <a:xfrm>
          <a:off x="1731967" y="29336999"/>
          <a:ext cx="3201983" cy="9526"/>
        </a:xfrm>
        <a:prstGeom prst="line">
          <a:avLst/>
        </a:prstGeom>
        <a:noFill/>
        <a:ln w="9525">
          <a:solidFill>
            <a:srgbClr val="000000"/>
          </a:solidFill>
          <a:round/>
          <a:headEnd/>
          <a:tailEnd/>
        </a:ln>
      </xdr:spPr>
    </xdr:sp>
    <xdr:clientData/>
  </xdr:twoCellAnchor>
  <xdr:twoCellAnchor>
    <xdr:from>
      <xdr:col>1</xdr:col>
      <xdr:colOff>1531939</xdr:colOff>
      <xdr:row>206</xdr:row>
      <xdr:rowOff>9525</xdr:rowOff>
    </xdr:from>
    <xdr:to>
      <xdr:col>1</xdr:col>
      <xdr:colOff>3581077</xdr:colOff>
      <xdr:row>206</xdr:row>
      <xdr:rowOff>9525</xdr:rowOff>
    </xdr:to>
    <xdr:sp macro="" textlink="">
      <xdr:nvSpPr>
        <xdr:cNvPr id="17" name="Line 1">
          <a:extLst>
            <a:ext uri="{FF2B5EF4-FFF2-40B4-BE49-F238E27FC236}">
              <a16:creationId xmlns:a16="http://schemas.microsoft.com/office/drawing/2014/main" id="{00000000-0008-0000-3F00-000011000000}"/>
            </a:ext>
          </a:extLst>
        </xdr:cNvPr>
        <xdr:cNvSpPr>
          <a:spLocks noChangeShapeType="1"/>
        </xdr:cNvSpPr>
      </xdr:nvSpPr>
      <xdr:spPr bwMode="auto">
        <a:xfrm>
          <a:off x="1897064" y="18702338"/>
          <a:ext cx="2049138" cy="0"/>
        </a:xfrm>
        <a:prstGeom prst="line">
          <a:avLst/>
        </a:prstGeom>
        <a:noFill/>
        <a:ln w="9525">
          <a:solidFill>
            <a:srgbClr val="000000"/>
          </a:solidFill>
          <a:round/>
          <a:headEnd/>
          <a:tailEnd/>
        </a:ln>
      </xdr:spPr>
    </xdr:sp>
    <xdr:clientData/>
  </xdr:twoCellAnchor>
  <xdr:twoCellAnchor>
    <xdr:from>
      <xdr:col>1</xdr:col>
      <xdr:colOff>1531939</xdr:colOff>
      <xdr:row>206</xdr:row>
      <xdr:rowOff>9525</xdr:rowOff>
    </xdr:from>
    <xdr:to>
      <xdr:col>1</xdr:col>
      <xdr:colOff>3581077</xdr:colOff>
      <xdr:row>206</xdr:row>
      <xdr:rowOff>9525</xdr:rowOff>
    </xdr:to>
    <xdr:sp macro="" textlink="">
      <xdr:nvSpPr>
        <xdr:cNvPr id="18" name="Line 1">
          <a:extLst>
            <a:ext uri="{FF2B5EF4-FFF2-40B4-BE49-F238E27FC236}">
              <a16:creationId xmlns:a16="http://schemas.microsoft.com/office/drawing/2014/main" id="{00000000-0008-0000-3F00-000012000000}"/>
            </a:ext>
          </a:extLst>
        </xdr:cNvPr>
        <xdr:cNvSpPr>
          <a:spLocks noChangeShapeType="1"/>
        </xdr:cNvSpPr>
      </xdr:nvSpPr>
      <xdr:spPr bwMode="auto">
        <a:xfrm>
          <a:off x="1897064" y="18702338"/>
          <a:ext cx="2049138" cy="0"/>
        </a:xfrm>
        <a:prstGeom prst="line">
          <a:avLst/>
        </a:prstGeom>
        <a:noFill/>
        <a:ln w="9525">
          <a:solidFill>
            <a:srgbClr val="000000"/>
          </a:solidFill>
          <a:round/>
          <a:headEnd/>
          <a:tailEnd/>
        </a:ln>
      </xdr:spPr>
    </xdr:sp>
    <xdr:clientData/>
  </xdr:twoCellAnchor>
  <xdr:twoCellAnchor>
    <xdr:from>
      <xdr:col>1</xdr:col>
      <xdr:colOff>1389067</xdr:colOff>
      <xdr:row>219</xdr:row>
      <xdr:rowOff>0</xdr:rowOff>
    </xdr:from>
    <xdr:to>
      <xdr:col>2</xdr:col>
      <xdr:colOff>0</xdr:colOff>
      <xdr:row>219</xdr:row>
      <xdr:rowOff>9526</xdr:rowOff>
    </xdr:to>
    <xdr:sp macro="" textlink="">
      <xdr:nvSpPr>
        <xdr:cNvPr id="19" name="Line 2">
          <a:extLst>
            <a:ext uri="{FF2B5EF4-FFF2-40B4-BE49-F238E27FC236}">
              <a16:creationId xmlns:a16="http://schemas.microsoft.com/office/drawing/2014/main" id="{00000000-0008-0000-3F00-000013000000}"/>
            </a:ext>
          </a:extLst>
        </xdr:cNvPr>
        <xdr:cNvSpPr>
          <a:spLocks noChangeShapeType="1"/>
        </xdr:cNvSpPr>
      </xdr:nvSpPr>
      <xdr:spPr bwMode="auto">
        <a:xfrm>
          <a:off x="1741492" y="33070800"/>
          <a:ext cx="3344858" cy="9526"/>
        </a:xfrm>
        <a:prstGeom prst="line">
          <a:avLst/>
        </a:prstGeom>
        <a:noFill/>
        <a:ln w="9525">
          <a:solidFill>
            <a:srgbClr val="000000"/>
          </a:solidFill>
          <a:round/>
          <a:headEnd/>
          <a:tailEnd/>
        </a:ln>
      </xdr:spPr>
    </xdr:sp>
    <xdr:clientData/>
  </xdr:twoCellAnchor>
  <xdr:twoCellAnchor>
    <xdr:from>
      <xdr:col>1</xdr:col>
      <xdr:colOff>1531939</xdr:colOff>
      <xdr:row>157</xdr:row>
      <xdr:rowOff>9525</xdr:rowOff>
    </xdr:from>
    <xdr:to>
      <xdr:col>1</xdr:col>
      <xdr:colOff>3581077</xdr:colOff>
      <xdr:row>157</xdr:row>
      <xdr:rowOff>9525</xdr:rowOff>
    </xdr:to>
    <xdr:sp macro="" textlink="">
      <xdr:nvSpPr>
        <xdr:cNvPr id="2" name="Line 1">
          <a:extLst>
            <a:ext uri="{FF2B5EF4-FFF2-40B4-BE49-F238E27FC236}">
              <a16:creationId xmlns:a16="http://schemas.microsoft.com/office/drawing/2014/main" id="{354E1EC7-A82C-41DE-AE83-0022FC901AF8}"/>
            </a:ext>
          </a:extLst>
        </xdr:cNvPr>
        <xdr:cNvSpPr>
          <a:spLocks noChangeShapeType="1"/>
        </xdr:cNvSpPr>
      </xdr:nvSpPr>
      <xdr:spPr bwMode="auto">
        <a:xfrm>
          <a:off x="1882459" y="32973645"/>
          <a:ext cx="2049138" cy="0"/>
        </a:xfrm>
        <a:prstGeom prst="line">
          <a:avLst/>
        </a:prstGeom>
        <a:noFill/>
        <a:ln w="9525">
          <a:solidFill>
            <a:srgbClr val="000000"/>
          </a:solidFill>
          <a:round/>
          <a:headEnd/>
          <a:tailEnd/>
        </a:ln>
      </xdr:spPr>
    </xdr:sp>
    <xdr:clientData/>
  </xdr:twoCellAnchor>
  <xdr:twoCellAnchor>
    <xdr:from>
      <xdr:col>1</xdr:col>
      <xdr:colOff>1389067</xdr:colOff>
      <xdr:row>170</xdr:row>
      <xdr:rowOff>-1</xdr:rowOff>
    </xdr:from>
    <xdr:to>
      <xdr:col>2</xdr:col>
      <xdr:colOff>0</xdr:colOff>
      <xdr:row>170</xdr:row>
      <xdr:rowOff>7936</xdr:rowOff>
    </xdr:to>
    <xdr:sp macro="" textlink="">
      <xdr:nvSpPr>
        <xdr:cNvPr id="3" name="Line 2">
          <a:extLst>
            <a:ext uri="{FF2B5EF4-FFF2-40B4-BE49-F238E27FC236}">
              <a16:creationId xmlns:a16="http://schemas.microsoft.com/office/drawing/2014/main" id="{52BC04E8-3261-4AC4-A4D9-C78B737A750F}"/>
            </a:ext>
          </a:extLst>
        </xdr:cNvPr>
        <xdr:cNvSpPr>
          <a:spLocks noChangeShapeType="1"/>
        </xdr:cNvSpPr>
      </xdr:nvSpPr>
      <xdr:spPr bwMode="auto">
        <a:xfrm>
          <a:off x="1739587" y="35539679"/>
          <a:ext cx="2725737" cy="7937"/>
        </a:xfrm>
        <a:prstGeom prst="line">
          <a:avLst/>
        </a:prstGeom>
        <a:noFill/>
        <a:ln w="9525">
          <a:solidFill>
            <a:srgbClr val="000000"/>
          </a:solidFill>
          <a:round/>
          <a:headEnd/>
          <a:tailEnd/>
        </a:ln>
      </xdr:spPr>
    </xdr:sp>
    <xdr:clientData/>
  </xdr:twoCellAnchor>
  <xdr:twoCellAnchor>
    <xdr:from>
      <xdr:col>1</xdr:col>
      <xdr:colOff>1389067</xdr:colOff>
      <xdr:row>169</xdr:row>
      <xdr:rowOff>200024</xdr:rowOff>
    </xdr:from>
    <xdr:to>
      <xdr:col>2</xdr:col>
      <xdr:colOff>0</xdr:colOff>
      <xdr:row>170</xdr:row>
      <xdr:rowOff>9525</xdr:rowOff>
    </xdr:to>
    <xdr:sp macro="" textlink="">
      <xdr:nvSpPr>
        <xdr:cNvPr id="4" name="Line 2">
          <a:extLst>
            <a:ext uri="{FF2B5EF4-FFF2-40B4-BE49-F238E27FC236}">
              <a16:creationId xmlns:a16="http://schemas.microsoft.com/office/drawing/2014/main" id="{CE9D7E27-E010-4660-89C5-2FE98FDBC9C4}"/>
            </a:ext>
          </a:extLst>
        </xdr:cNvPr>
        <xdr:cNvSpPr>
          <a:spLocks noChangeShapeType="1"/>
        </xdr:cNvSpPr>
      </xdr:nvSpPr>
      <xdr:spPr bwMode="auto">
        <a:xfrm>
          <a:off x="1739587" y="35541584"/>
          <a:ext cx="3308663" cy="7621"/>
        </a:xfrm>
        <a:prstGeom prst="line">
          <a:avLst/>
        </a:prstGeom>
        <a:noFill/>
        <a:ln w="9525">
          <a:solidFill>
            <a:srgbClr val="000000"/>
          </a:solidFill>
          <a:round/>
          <a:headEnd/>
          <a:tailEnd/>
        </a:ln>
      </xdr:spPr>
    </xdr:sp>
    <xdr:clientData/>
  </xdr:twoCellAnchor>
  <xdr:twoCellAnchor>
    <xdr:from>
      <xdr:col>1</xdr:col>
      <xdr:colOff>1531939</xdr:colOff>
      <xdr:row>246</xdr:row>
      <xdr:rowOff>9525</xdr:rowOff>
    </xdr:from>
    <xdr:to>
      <xdr:col>1</xdr:col>
      <xdr:colOff>3581077</xdr:colOff>
      <xdr:row>246</xdr:row>
      <xdr:rowOff>9525</xdr:rowOff>
    </xdr:to>
    <xdr:sp macro="" textlink="">
      <xdr:nvSpPr>
        <xdr:cNvPr id="5" name="Line 1">
          <a:extLst>
            <a:ext uri="{FF2B5EF4-FFF2-40B4-BE49-F238E27FC236}">
              <a16:creationId xmlns:a16="http://schemas.microsoft.com/office/drawing/2014/main" id="{4984621B-DBB0-4197-B90C-659CC3101154}"/>
            </a:ext>
          </a:extLst>
        </xdr:cNvPr>
        <xdr:cNvSpPr>
          <a:spLocks noChangeShapeType="1"/>
        </xdr:cNvSpPr>
      </xdr:nvSpPr>
      <xdr:spPr bwMode="auto">
        <a:xfrm>
          <a:off x="1882459" y="48388905"/>
          <a:ext cx="2049138" cy="0"/>
        </a:xfrm>
        <a:prstGeom prst="line">
          <a:avLst/>
        </a:prstGeom>
        <a:noFill/>
        <a:ln w="9525">
          <a:solidFill>
            <a:srgbClr val="000000"/>
          </a:solidFill>
          <a:round/>
          <a:headEnd/>
          <a:tailEnd/>
        </a:ln>
      </xdr:spPr>
    </xdr:sp>
    <xdr:clientData/>
  </xdr:twoCellAnchor>
  <xdr:twoCellAnchor>
    <xdr:from>
      <xdr:col>1</xdr:col>
      <xdr:colOff>1531939</xdr:colOff>
      <xdr:row>246</xdr:row>
      <xdr:rowOff>9525</xdr:rowOff>
    </xdr:from>
    <xdr:to>
      <xdr:col>1</xdr:col>
      <xdr:colOff>3581077</xdr:colOff>
      <xdr:row>246</xdr:row>
      <xdr:rowOff>9525</xdr:rowOff>
    </xdr:to>
    <xdr:sp macro="" textlink="">
      <xdr:nvSpPr>
        <xdr:cNvPr id="6" name="Line 1">
          <a:extLst>
            <a:ext uri="{FF2B5EF4-FFF2-40B4-BE49-F238E27FC236}">
              <a16:creationId xmlns:a16="http://schemas.microsoft.com/office/drawing/2014/main" id="{BFCB6316-0E3F-4E28-9690-D52DB3B1B282}"/>
            </a:ext>
          </a:extLst>
        </xdr:cNvPr>
        <xdr:cNvSpPr>
          <a:spLocks noChangeShapeType="1"/>
        </xdr:cNvSpPr>
      </xdr:nvSpPr>
      <xdr:spPr bwMode="auto">
        <a:xfrm>
          <a:off x="1882459" y="48388905"/>
          <a:ext cx="2049138" cy="0"/>
        </a:xfrm>
        <a:prstGeom prst="line">
          <a:avLst/>
        </a:prstGeom>
        <a:noFill/>
        <a:ln w="9525">
          <a:solidFill>
            <a:srgbClr val="000000"/>
          </a:solidFill>
          <a:round/>
          <a:headEnd/>
          <a:tailEnd/>
        </a:ln>
      </xdr:spPr>
    </xdr:sp>
    <xdr:clientData/>
  </xdr:twoCellAnchor>
  <xdr:twoCellAnchor>
    <xdr:from>
      <xdr:col>1</xdr:col>
      <xdr:colOff>1389066</xdr:colOff>
      <xdr:row>258</xdr:row>
      <xdr:rowOff>190501</xdr:rowOff>
    </xdr:from>
    <xdr:to>
      <xdr:col>2</xdr:col>
      <xdr:colOff>9524</xdr:colOff>
      <xdr:row>259</xdr:row>
      <xdr:rowOff>0</xdr:rowOff>
    </xdr:to>
    <xdr:sp macro="" textlink="">
      <xdr:nvSpPr>
        <xdr:cNvPr id="7" name="Line 2">
          <a:extLst>
            <a:ext uri="{FF2B5EF4-FFF2-40B4-BE49-F238E27FC236}">
              <a16:creationId xmlns:a16="http://schemas.microsoft.com/office/drawing/2014/main" id="{035D1796-1A3D-44D3-A07B-5E9F1930B1EA}"/>
            </a:ext>
          </a:extLst>
        </xdr:cNvPr>
        <xdr:cNvSpPr>
          <a:spLocks noChangeShapeType="1"/>
        </xdr:cNvSpPr>
      </xdr:nvSpPr>
      <xdr:spPr bwMode="auto">
        <a:xfrm flipV="1">
          <a:off x="1751016" y="54444901"/>
          <a:ext cx="3487733" cy="9524"/>
        </a:xfrm>
        <a:prstGeom prst="line">
          <a:avLst/>
        </a:prstGeom>
        <a:noFill/>
        <a:ln w="9525">
          <a:solidFill>
            <a:srgbClr val="000000"/>
          </a:solidFill>
          <a:round/>
          <a:headEnd/>
          <a:tailEnd/>
        </a:ln>
      </xdr:spPr>
    </xdr:sp>
    <xdr:clientData/>
  </xdr:twoCellAnchor>
  <xdr:twoCellAnchor>
    <xdr:from>
      <xdr:col>1</xdr:col>
      <xdr:colOff>1531939</xdr:colOff>
      <xdr:row>246</xdr:row>
      <xdr:rowOff>9525</xdr:rowOff>
    </xdr:from>
    <xdr:to>
      <xdr:col>1</xdr:col>
      <xdr:colOff>3581077</xdr:colOff>
      <xdr:row>246</xdr:row>
      <xdr:rowOff>9525</xdr:rowOff>
    </xdr:to>
    <xdr:sp macro="" textlink="">
      <xdr:nvSpPr>
        <xdr:cNvPr id="8" name="Line 1">
          <a:extLst>
            <a:ext uri="{FF2B5EF4-FFF2-40B4-BE49-F238E27FC236}">
              <a16:creationId xmlns:a16="http://schemas.microsoft.com/office/drawing/2014/main" id="{2414C84E-2C7A-4F10-8464-00628276C971}"/>
            </a:ext>
          </a:extLst>
        </xdr:cNvPr>
        <xdr:cNvSpPr>
          <a:spLocks noChangeShapeType="1"/>
        </xdr:cNvSpPr>
      </xdr:nvSpPr>
      <xdr:spPr bwMode="auto">
        <a:xfrm>
          <a:off x="1882459" y="48388905"/>
          <a:ext cx="2049138"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238125</xdr:colOff>
      <xdr:row>26</xdr:row>
      <xdr:rowOff>107156</xdr:rowOff>
    </xdr:from>
    <xdr:ext cx="184731" cy="264560"/>
    <xdr:sp macro="" textlink="">
      <xdr:nvSpPr>
        <xdr:cNvPr id="2" name="TextBox 1">
          <a:extLst>
            <a:ext uri="{FF2B5EF4-FFF2-40B4-BE49-F238E27FC236}">
              <a16:creationId xmlns:a16="http://schemas.microsoft.com/office/drawing/2014/main" id="{3C9857EC-7B84-4285-BF7E-4A8D13C8486E}"/>
            </a:ext>
          </a:extLst>
        </xdr:cNvPr>
        <xdr:cNvSpPr txBox="1"/>
      </xdr:nvSpPr>
      <xdr:spPr>
        <a:xfrm>
          <a:off x="240030" y="54678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26</xdr:row>
      <xdr:rowOff>107156</xdr:rowOff>
    </xdr:from>
    <xdr:ext cx="184731" cy="264560"/>
    <xdr:sp macro="" textlink="">
      <xdr:nvSpPr>
        <xdr:cNvPr id="3" name="TextBox 2">
          <a:extLst>
            <a:ext uri="{FF2B5EF4-FFF2-40B4-BE49-F238E27FC236}">
              <a16:creationId xmlns:a16="http://schemas.microsoft.com/office/drawing/2014/main" id="{DF928ECC-2B7C-4CD2-A39D-E086090E7418}"/>
            </a:ext>
          </a:extLst>
        </xdr:cNvPr>
        <xdr:cNvSpPr txBox="1"/>
      </xdr:nvSpPr>
      <xdr:spPr>
        <a:xfrm>
          <a:off x="0" y="54678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0</xdr:colOff>
      <xdr:row>26</xdr:row>
      <xdr:rowOff>107156</xdr:rowOff>
    </xdr:from>
    <xdr:ext cx="184731" cy="264560"/>
    <xdr:sp macro="" textlink="">
      <xdr:nvSpPr>
        <xdr:cNvPr id="4" name="TextBox 3">
          <a:extLst>
            <a:ext uri="{FF2B5EF4-FFF2-40B4-BE49-F238E27FC236}">
              <a16:creationId xmlns:a16="http://schemas.microsoft.com/office/drawing/2014/main" id="{592BFC11-961E-42B4-9D7E-A9AE48799444}"/>
            </a:ext>
          </a:extLst>
        </xdr:cNvPr>
        <xdr:cNvSpPr txBox="1"/>
      </xdr:nvSpPr>
      <xdr:spPr>
        <a:xfrm>
          <a:off x="9525000" y="54678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238125</xdr:colOff>
      <xdr:row>26</xdr:row>
      <xdr:rowOff>107156</xdr:rowOff>
    </xdr:from>
    <xdr:ext cx="184731" cy="264560"/>
    <xdr:sp macro="" textlink="">
      <xdr:nvSpPr>
        <xdr:cNvPr id="5" name="TextBox 4">
          <a:extLst>
            <a:ext uri="{FF2B5EF4-FFF2-40B4-BE49-F238E27FC236}">
              <a16:creationId xmlns:a16="http://schemas.microsoft.com/office/drawing/2014/main" id="{55262BC7-3AF2-4D60-8415-D77CC3BA54E6}"/>
            </a:ext>
          </a:extLst>
        </xdr:cNvPr>
        <xdr:cNvSpPr txBox="1"/>
      </xdr:nvSpPr>
      <xdr:spPr>
        <a:xfrm>
          <a:off x="7393305" y="54678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238125</xdr:colOff>
      <xdr:row>26</xdr:row>
      <xdr:rowOff>107156</xdr:rowOff>
    </xdr:from>
    <xdr:ext cx="184731" cy="264560"/>
    <xdr:sp macro="" textlink="">
      <xdr:nvSpPr>
        <xdr:cNvPr id="6" name="TextBox 5">
          <a:extLst>
            <a:ext uri="{FF2B5EF4-FFF2-40B4-BE49-F238E27FC236}">
              <a16:creationId xmlns:a16="http://schemas.microsoft.com/office/drawing/2014/main" id="{C7D89247-DE80-43EA-B6E4-BA990B6BE1D3}"/>
            </a:ext>
          </a:extLst>
        </xdr:cNvPr>
        <xdr:cNvSpPr txBox="1"/>
      </xdr:nvSpPr>
      <xdr:spPr>
        <a:xfrm>
          <a:off x="240030" y="54678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26</xdr:row>
      <xdr:rowOff>107156</xdr:rowOff>
    </xdr:from>
    <xdr:ext cx="184731" cy="264560"/>
    <xdr:sp macro="" textlink="">
      <xdr:nvSpPr>
        <xdr:cNvPr id="7" name="TextBox 6">
          <a:extLst>
            <a:ext uri="{FF2B5EF4-FFF2-40B4-BE49-F238E27FC236}">
              <a16:creationId xmlns:a16="http://schemas.microsoft.com/office/drawing/2014/main" id="{A0211D38-C8A0-4AD8-BA4A-6E74FB00A0D1}"/>
            </a:ext>
          </a:extLst>
        </xdr:cNvPr>
        <xdr:cNvSpPr txBox="1"/>
      </xdr:nvSpPr>
      <xdr:spPr>
        <a:xfrm>
          <a:off x="0" y="54678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0</xdr:colOff>
      <xdr:row>26</xdr:row>
      <xdr:rowOff>107156</xdr:rowOff>
    </xdr:from>
    <xdr:ext cx="184731" cy="264560"/>
    <xdr:sp macro="" textlink="">
      <xdr:nvSpPr>
        <xdr:cNvPr id="8" name="TextBox 7">
          <a:extLst>
            <a:ext uri="{FF2B5EF4-FFF2-40B4-BE49-F238E27FC236}">
              <a16:creationId xmlns:a16="http://schemas.microsoft.com/office/drawing/2014/main" id="{A6281CEE-8AC1-4053-9AB7-201A964486D3}"/>
            </a:ext>
          </a:extLst>
        </xdr:cNvPr>
        <xdr:cNvSpPr txBox="1"/>
      </xdr:nvSpPr>
      <xdr:spPr>
        <a:xfrm>
          <a:off x="9525000" y="54678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238125</xdr:colOff>
      <xdr:row>26</xdr:row>
      <xdr:rowOff>107156</xdr:rowOff>
    </xdr:from>
    <xdr:ext cx="184731" cy="264560"/>
    <xdr:sp macro="" textlink="">
      <xdr:nvSpPr>
        <xdr:cNvPr id="9" name="TextBox 8">
          <a:extLst>
            <a:ext uri="{FF2B5EF4-FFF2-40B4-BE49-F238E27FC236}">
              <a16:creationId xmlns:a16="http://schemas.microsoft.com/office/drawing/2014/main" id="{602A1E8C-AB15-4DD2-8E1D-1BE7EE58B976}"/>
            </a:ext>
          </a:extLst>
        </xdr:cNvPr>
        <xdr:cNvSpPr txBox="1"/>
      </xdr:nvSpPr>
      <xdr:spPr>
        <a:xfrm>
          <a:off x="7393305" y="54678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1531939</xdr:colOff>
      <xdr:row>128</xdr:row>
      <xdr:rowOff>9525</xdr:rowOff>
    </xdr:from>
    <xdr:to>
      <xdr:col>1</xdr:col>
      <xdr:colOff>3581077</xdr:colOff>
      <xdr:row>128</xdr:row>
      <xdr:rowOff>9525</xdr:rowOff>
    </xdr:to>
    <xdr:sp macro="" textlink="">
      <xdr:nvSpPr>
        <xdr:cNvPr id="2" name="Line 1">
          <a:extLst>
            <a:ext uri="{FF2B5EF4-FFF2-40B4-BE49-F238E27FC236}">
              <a16:creationId xmlns:a16="http://schemas.microsoft.com/office/drawing/2014/main" id="{B90BB559-6992-4A2A-8FC1-462740BC17F6}"/>
            </a:ext>
          </a:extLst>
        </xdr:cNvPr>
        <xdr:cNvSpPr>
          <a:spLocks noChangeShapeType="1"/>
        </xdr:cNvSpPr>
      </xdr:nvSpPr>
      <xdr:spPr bwMode="auto">
        <a:xfrm>
          <a:off x="1887539" y="25854025"/>
          <a:ext cx="2049138" cy="0"/>
        </a:xfrm>
        <a:prstGeom prst="line">
          <a:avLst/>
        </a:prstGeom>
        <a:noFill/>
        <a:ln w="9525">
          <a:solidFill>
            <a:srgbClr val="000000"/>
          </a:solidFill>
          <a:round/>
          <a:headEnd/>
          <a:tailEnd/>
        </a:ln>
      </xdr:spPr>
    </xdr:sp>
    <xdr:clientData/>
  </xdr:twoCellAnchor>
  <xdr:twoCellAnchor>
    <xdr:from>
      <xdr:col>1</xdr:col>
      <xdr:colOff>1531939</xdr:colOff>
      <xdr:row>205</xdr:row>
      <xdr:rowOff>9525</xdr:rowOff>
    </xdr:from>
    <xdr:to>
      <xdr:col>1</xdr:col>
      <xdr:colOff>3581077</xdr:colOff>
      <xdr:row>205</xdr:row>
      <xdr:rowOff>9525</xdr:rowOff>
    </xdr:to>
    <xdr:sp macro="" textlink="">
      <xdr:nvSpPr>
        <xdr:cNvPr id="3" name="Line 1">
          <a:extLst>
            <a:ext uri="{FF2B5EF4-FFF2-40B4-BE49-F238E27FC236}">
              <a16:creationId xmlns:a16="http://schemas.microsoft.com/office/drawing/2014/main" id="{47DB2AEA-F716-4A2D-97BC-FF15A82781B5}"/>
            </a:ext>
          </a:extLst>
        </xdr:cNvPr>
        <xdr:cNvSpPr>
          <a:spLocks noChangeShapeType="1"/>
        </xdr:cNvSpPr>
      </xdr:nvSpPr>
      <xdr:spPr bwMode="auto">
        <a:xfrm>
          <a:off x="1887539" y="41151175"/>
          <a:ext cx="2049138" cy="0"/>
        </a:xfrm>
        <a:prstGeom prst="line">
          <a:avLst/>
        </a:prstGeom>
        <a:noFill/>
        <a:ln w="9525">
          <a:solidFill>
            <a:srgbClr val="000000"/>
          </a:solidFill>
          <a:round/>
          <a:headEnd/>
          <a:tailEnd/>
        </a:ln>
      </xdr:spPr>
    </xdr:sp>
    <xdr:clientData/>
  </xdr:twoCellAnchor>
  <xdr:twoCellAnchor>
    <xdr:from>
      <xdr:col>1</xdr:col>
      <xdr:colOff>1389066</xdr:colOff>
      <xdr:row>140</xdr:row>
      <xdr:rowOff>190499</xdr:rowOff>
    </xdr:from>
    <xdr:to>
      <xdr:col>3</xdr:col>
      <xdr:colOff>11905</xdr:colOff>
      <xdr:row>141</xdr:row>
      <xdr:rowOff>-1</xdr:rowOff>
    </xdr:to>
    <xdr:sp macro="" textlink="">
      <xdr:nvSpPr>
        <xdr:cNvPr id="4" name="Line 2">
          <a:extLst>
            <a:ext uri="{FF2B5EF4-FFF2-40B4-BE49-F238E27FC236}">
              <a16:creationId xmlns:a16="http://schemas.microsoft.com/office/drawing/2014/main" id="{36DC0E38-F9C9-441F-B994-9A97F5E48C42}"/>
            </a:ext>
          </a:extLst>
        </xdr:cNvPr>
        <xdr:cNvSpPr>
          <a:spLocks noChangeShapeType="1"/>
        </xdr:cNvSpPr>
      </xdr:nvSpPr>
      <xdr:spPr bwMode="auto">
        <a:xfrm flipV="1">
          <a:off x="1744666" y="28397199"/>
          <a:ext cx="3582189" cy="6350"/>
        </a:xfrm>
        <a:prstGeom prst="line">
          <a:avLst/>
        </a:prstGeom>
        <a:noFill/>
        <a:ln w="9525">
          <a:solidFill>
            <a:srgbClr val="000000"/>
          </a:solidFill>
          <a:round/>
          <a:headEnd/>
          <a:tailEnd/>
        </a:ln>
      </xdr:spPr>
    </xdr:sp>
    <xdr:clientData/>
  </xdr:twoCellAnchor>
  <xdr:twoCellAnchor>
    <xdr:from>
      <xdr:col>1</xdr:col>
      <xdr:colOff>1389067</xdr:colOff>
      <xdr:row>218</xdr:row>
      <xdr:rowOff>-1</xdr:rowOff>
    </xdr:from>
    <xdr:to>
      <xdr:col>2</xdr:col>
      <xdr:colOff>312424</xdr:colOff>
      <xdr:row>218</xdr:row>
      <xdr:rowOff>7936</xdr:rowOff>
    </xdr:to>
    <xdr:sp macro="" textlink="">
      <xdr:nvSpPr>
        <xdr:cNvPr id="5" name="Line 2">
          <a:extLst>
            <a:ext uri="{FF2B5EF4-FFF2-40B4-BE49-F238E27FC236}">
              <a16:creationId xmlns:a16="http://schemas.microsoft.com/office/drawing/2014/main" id="{A4F2991F-3493-4B9B-8D91-843B3AE360CE}"/>
            </a:ext>
          </a:extLst>
        </xdr:cNvPr>
        <xdr:cNvSpPr>
          <a:spLocks noChangeShapeType="1"/>
        </xdr:cNvSpPr>
      </xdr:nvSpPr>
      <xdr:spPr bwMode="auto">
        <a:xfrm>
          <a:off x="1744667" y="43700699"/>
          <a:ext cx="2796857" cy="7937"/>
        </a:xfrm>
        <a:prstGeom prst="line">
          <a:avLst/>
        </a:prstGeom>
        <a:noFill/>
        <a:ln w="9525">
          <a:solidFill>
            <a:srgbClr val="000000"/>
          </a:solidFill>
          <a:round/>
          <a:headEnd/>
          <a:tailEnd/>
        </a:ln>
      </xdr:spPr>
    </xdr:sp>
    <xdr:clientData/>
  </xdr:twoCellAnchor>
  <xdr:twoCellAnchor>
    <xdr:from>
      <xdr:col>1</xdr:col>
      <xdr:colOff>1531939</xdr:colOff>
      <xdr:row>162</xdr:row>
      <xdr:rowOff>9525</xdr:rowOff>
    </xdr:from>
    <xdr:to>
      <xdr:col>1</xdr:col>
      <xdr:colOff>3581077</xdr:colOff>
      <xdr:row>162</xdr:row>
      <xdr:rowOff>9525</xdr:rowOff>
    </xdr:to>
    <xdr:sp macro="" textlink="">
      <xdr:nvSpPr>
        <xdr:cNvPr id="6" name="Line 1">
          <a:extLst>
            <a:ext uri="{FF2B5EF4-FFF2-40B4-BE49-F238E27FC236}">
              <a16:creationId xmlns:a16="http://schemas.microsoft.com/office/drawing/2014/main" id="{72442B29-F568-42E2-A9C0-67C9DEF305BE}"/>
            </a:ext>
          </a:extLst>
        </xdr:cNvPr>
        <xdr:cNvSpPr>
          <a:spLocks noChangeShapeType="1"/>
        </xdr:cNvSpPr>
      </xdr:nvSpPr>
      <xdr:spPr bwMode="auto">
        <a:xfrm>
          <a:off x="1887539" y="32616775"/>
          <a:ext cx="2049138" cy="0"/>
        </a:xfrm>
        <a:prstGeom prst="line">
          <a:avLst/>
        </a:prstGeom>
        <a:noFill/>
        <a:ln w="9525">
          <a:solidFill>
            <a:srgbClr val="000000"/>
          </a:solidFill>
          <a:round/>
          <a:headEnd/>
          <a:tailEnd/>
        </a:ln>
      </xdr:spPr>
    </xdr:sp>
    <xdr:clientData/>
  </xdr:twoCellAnchor>
  <xdr:twoCellAnchor>
    <xdr:from>
      <xdr:col>1</xdr:col>
      <xdr:colOff>1389067</xdr:colOff>
      <xdr:row>174</xdr:row>
      <xdr:rowOff>190500</xdr:rowOff>
    </xdr:from>
    <xdr:to>
      <xdr:col>3</xdr:col>
      <xdr:colOff>23813</xdr:colOff>
      <xdr:row>174</xdr:row>
      <xdr:rowOff>196453</xdr:rowOff>
    </xdr:to>
    <xdr:sp macro="" textlink="">
      <xdr:nvSpPr>
        <xdr:cNvPr id="7" name="Line 2">
          <a:extLst>
            <a:ext uri="{FF2B5EF4-FFF2-40B4-BE49-F238E27FC236}">
              <a16:creationId xmlns:a16="http://schemas.microsoft.com/office/drawing/2014/main" id="{233E8E4E-C0E0-4416-96BB-82D0158CCB98}"/>
            </a:ext>
          </a:extLst>
        </xdr:cNvPr>
        <xdr:cNvSpPr>
          <a:spLocks noChangeShapeType="1"/>
        </xdr:cNvSpPr>
      </xdr:nvSpPr>
      <xdr:spPr bwMode="auto">
        <a:xfrm flipV="1">
          <a:off x="1744667" y="35159950"/>
          <a:ext cx="3594096" cy="5953"/>
        </a:xfrm>
        <a:prstGeom prst="line">
          <a:avLst/>
        </a:prstGeom>
        <a:noFill/>
        <a:ln w="9525">
          <a:solidFill>
            <a:srgbClr val="000000"/>
          </a:solidFill>
          <a:round/>
          <a:headEnd/>
          <a:tailEnd/>
        </a:ln>
      </xdr:spPr>
    </xdr:sp>
    <xdr:clientData/>
  </xdr:twoCellAnchor>
  <xdr:twoCellAnchor>
    <xdr:from>
      <xdr:col>1</xdr:col>
      <xdr:colOff>1531939</xdr:colOff>
      <xdr:row>239</xdr:row>
      <xdr:rowOff>9525</xdr:rowOff>
    </xdr:from>
    <xdr:to>
      <xdr:col>1</xdr:col>
      <xdr:colOff>3581077</xdr:colOff>
      <xdr:row>239</xdr:row>
      <xdr:rowOff>9525</xdr:rowOff>
    </xdr:to>
    <xdr:sp macro="" textlink="">
      <xdr:nvSpPr>
        <xdr:cNvPr id="8" name="Line 1">
          <a:extLst>
            <a:ext uri="{FF2B5EF4-FFF2-40B4-BE49-F238E27FC236}">
              <a16:creationId xmlns:a16="http://schemas.microsoft.com/office/drawing/2014/main" id="{4A9D8177-4C12-4EE0-8381-31468F2567BB}"/>
            </a:ext>
          </a:extLst>
        </xdr:cNvPr>
        <xdr:cNvSpPr>
          <a:spLocks noChangeShapeType="1"/>
        </xdr:cNvSpPr>
      </xdr:nvSpPr>
      <xdr:spPr bwMode="auto">
        <a:xfrm>
          <a:off x="1887539" y="47913925"/>
          <a:ext cx="2049138" cy="0"/>
        </a:xfrm>
        <a:prstGeom prst="line">
          <a:avLst/>
        </a:prstGeom>
        <a:noFill/>
        <a:ln w="9525">
          <a:solidFill>
            <a:srgbClr val="000000"/>
          </a:solidFill>
          <a:round/>
          <a:headEnd/>
          <a:tailEnd/>
        </a:ln>
      </xdr:spPr>
    </xdr:sp>
    <xdr:clientData/>
  </xdr:twoCellAnchor>
  <xdr:twoCellAnchor>
    <xdr:from>
      <xdr:col>1</xdr:col>
      <xdr:colOff>1531939</xdr:colOff>
      <xdr:row>239</xdr:row>
      <xdr:rowOff>9525</xdr:rowOff>
    </xdr:from>
    <xdr:to>
      <xdr:col>1</xdr:col>
      <xdr:colOff>3581077</xdr:colOff>
      <xdr:row>239</xdr:row>
      <xdr:rowOff>9525</xdr:rowOff>
    </xdr:to>
    <xdr:sp macro="" textlink="">
      <xdr:nvSpPr>
        <xdr:cNvPr id="9" name="Line 1">
          <a:extLst>
            <a:ext uri="{FF2B5EF4-FFF2-40B4-BE49-F238E27FC236}">
              <a16:creationId xmlns:a16="http://schemas.microsoft.com/office/drawing/2014/main" id="{29E6CFC5-CD33-47F8-B5C9-A64BC971B571}"/>
            </a:ext>
          </a:extLst>
        </xdr:cNvPr>
        <xdr:cNvSpPr>
          <a:spLocks noChangeShapeType="1"/>
        </xdr:cNvSpPr>
      </xdr:nvSpPr>
      <xdr:spPr bwMode="auto">
        <a:xfrm>
          <a:off x="1887539" y="47913925"/>
          <a:ext cx="2049138" cy="0"/>
        </a:xfrm>
        <a:prstGeom prst="line">
          <a:avLst/>
        </a:prstGeom>
        <a:noFill/>
        <a:ln w="9525">
          <a:solidFill>
            <a:srgbClr val="000000"/>
          </a:solidFill>
          <a:round/>
          <a:headEnd/>
          <a:tailEnd/>
        </a:ln>
      </xdr:spPr>
    </xdr:sp>
    <xdr:clientData/>
  </xdr:twoCellAnchor>
  <xdr:twoCellAnchor>
    <xdr:from>
      <xdr:col>1</xdr:col>
      <xdr:colOff>1389067</xdr:colOff>
      <xdr:row>252</xdr:row>
      <xdr:rowOff>-1</xdr:rowOff>
    </xdr:from>
    <xdr:to>
      <xdr:col>2</xdr:col>
      <xdr:colOff>312424</xdr:colOff>
      <xdr:row>252</xdr:row>
      <xdr:rowOff>7936</xdr:rowOff>
    </xdr:to>
    <xdr:sp macro="" textlink="">
      <xdr:nvSpPr>
        <xdr:cNvPr id="10" name="Line 2">
          <a:extLst>
            <a:ext uri="{FF2B5EF4-FFF2-40B4-BE49-F238E27FC236}">
              <a16:creationId xmlns:a16="http://schemas.microsoft.com/office/drawing/2014/main" id="{B711C056-989A-4AE2-A472-CA9464CFE1F9}"/>
            </a:ext>
          </a:extLst>
        </xdr:cNvPr>
        <xdr:cNvSpPr>
          <a:spLocks noChangeShapeType="1"/>
        </xdr:cNvSpPr>
      </xdr:nvSpPr>
      <xdr:spPr bwMode="auto">
        <a:xfrm>
          <a:off x="1744667" y="50463449"/>
          <a:ext cx="2796857" cy="7937"/>
        </a:xfrm>
        <a:prstGeom prst="line">
          <a:avLst/>
        </a:prstGeom>
        <a:noFill/>
        <a:ln w="9525">
          <a:solidFill>
            <a:srgbClr val="000000"/>
          </a:solidFill>
          <a:round/>
          <a:headEnd/>
          <a:tailEnd/>
        </a:ln>
      </xdr:spPr>
    </xdr:sp>
    <xdr:clientData/>
  </xdr:twoCellAnchor>
  <xdr:twoCellAnchor>
    <xdr:from>
      <xdr:col>1</xdr:col>
      <xdr:colOff>1531939</xdr:colOff>
      <xdr:row>239</xdr:row>
      <xdr:rowOff>9525</xdr:rowOff>
    </xdr:from>
    <xdr:to>
      <xdr:col>1</xdr:col>
      <xdr:colOff>3581077</xdr:colOff>
      <xdr:row>239</xdr:row>
      <xdr:rowOff>9525</xdr:rowOff>
    </xdr:to>
    <xdr:sp macro="" textlink="">
      <xdr:nvSpPr>
        <xdr:cNvPr id="11" name="Line 1">
          <a:extLst>
            <a:ext uri="{FF2B5EF4-FFF2-40B4-BE49-F238E27FC236}">
              <a16:creationId xmlns:a16="http://schemas.microsoft.com/office/drawing/2014/main" id="{08E7852D-94E4-468B-BBE3-7DA5D8EFCD7D}"/>
            </a:ext>
          </a:extLst>
        </xdr:cNvPr>
        <xdr:cNvSpPr>
          <a:spLocks noChangeShapeType="1"/>
        </xdr:cNvSpPr>
      </xdr:nvSpPr>
      <xdr:spPr bwMode="auto">
        <a:xfrm>
          <a:off x="1887539" y="47913925"/>
          <a:ext cx="2049138" cy="0"/>
        </a:xfrm>
        <a:prstGeom prst="line">
          <a:avLst/>
        </a:prstGeom>
        <a:noFill/>
        <a:ln w="9525">
          <a:solidFill>
            <a:srgbClr val="000000"/>
          </a:solidFill>
          <a:round/>
          <a:headEnd/>
          <a:tailEnd/>
        </a:ln>
      </xdr:spPr>
    </xdr:sp>
    <xdr:clientData/>
  </xdr:twoCellAnchor>
  <xdr:twoCellAnchor>
    <xdr:from>
      <xdr:col>1</xdr:col>
      <xdr:colOff>1389067</xdr:colOff>
      <xdr:row>251</xdr:row>
      <xdr:rowOff>202405</xdr:rowOff>
    </xdr:from>
    <xdr:to>
      <xdr:col>2</xdr:col>
      <xdr:colOff>312424</xdr:colOff>
      <xdr:row>252</xdr:row>
      <xdr:rowOff>7936</xdr:rowOff>
    </xdr:to>
    <xdr:sp macro="" textlink="">
      <xdr:nvSpPr>
        <xdr:cNvPr id="12" name="Line 2">
          <a:extLst>
            <a:ext uri="{FF2B5EF4-FFF2-40B4-BE49-F238E27FC236}">
              <a16:creationId xmlns:a16="http://schemas.microsoft.com/office/drawing/2014/main" id="{B3FCBAE3-3E0F-4541-9A96-BD2A55645AB2}"/>
            </a:ext>
          </a:extLst>
        </xdr:cNvPr>
        <xdr:cNvSpPr>
          <a:spLocks noChangeShapeType="1"/>
        </xdr:cNvSpPr>
      </xdr:nvSpPr>
      <xdr:spPr bwMode="auto">
        <a:xfrm>
          <a:off x="1744667" y="50462655"/>
          <a:ext cx="2796857" cy="8731"/>
        </a:xfrm>
        <a:prstGeom prst="line">
          <a:avLst/>
        </a:prstGeom>
        <a:noFill/>
        <a:ln w="9525">
          <a:solidFill>
            <a:srgbClr val="000000"/>
          </a:solidFill>
          <a:round/>
          <a:headEnd/>
          <a:tailEnd/>
        </a:ln>
      </xdr:spPr>
    </xdr:sp>
    <xdr:clientData/>
  </xdr:twoCellAnchor>
  <xdr:twoCellAnchor>
    <xdr:from>
      <xdr:col>1</xdr:col>
      <xdr:colOff>1389067</xdr:colOff>
      <xdr:row>218</xdr:row>
      <xdr:rowOff>-1</xdr:rowOff>
    </xdr:from>
    <xdr:to>
      <xdr:col>2</xdr:col>
      <xdr:colOff>312424</xdr:colOff>
      <xdr:row>218</xdr:row>
      <xdr:rowOff>7936</xdr:rowOff>
    </xdr:to>
    <xdr:sp macro="" textlink="">
      <xdr:nvSpPr>
        <xdr:cNvPr id="13" name="Line 2">
          <a:extLst>
            <a:ext uri="{FF2B5EF4-FFF2-40B4-BE49-F238E27FC236}">
              <a16:creationId xmlns:a16="http://schemas.microsoft.com/office/drawing/2014/main" id="{49669158-6158-4C2A-B33A-61BD9447444A}"/>
            </a:ext>
          </a:extLst>
        </xdr:cNvPr>
        <xdr:cNvSpPr>
          <a:spLocks noChangeShapeType="1"/>
        </xdr:cNvSpPr>
      </xdr:nvSpPr>
      <xdr:spPr bwMode="auto">
        <a:xfrm>
          <a:off x="1744667" y="43700699"/>
          <a:ext cx="2796857" cy="7937"/>
        </a:xfrm>
        <a:prstGeom prst="line">
          <a:avLst/>
        </a:prstGeom>
        <a:noFill/>
        <a:ln w="9525">
          <a:solidFill>
            <a:srgbClr val="000000"/>
          </a:solidFill>
          <a:round/>
          <a:headEnd/>
          <a:tailEnd/>
        </a:ln>
      </xdr:spPr>
    </xdr:sp>
    <xdr:clientData/>
  </xdr:twoCellAnchor>
  <xdr:twoCellAnchor>
    <xdr:from>
      <xdr:col>1</xdr:col>
      <xdr:colOff>1389067</xdr:colOff>
      <xdr:row>217</xdr:row>
      <xdr:rowOff>200024</xdr:rowOff>
    </xdr:from>
    <xdr:to>
      <xdr:col>2</xdr:col>
      <xdr:colOff>895350</xdr:colOff>
      <xdr:row>218</xdr:row>
      <xdr:rowOff>9525</xdr:rowOff>
    </xdr:to>
    <xdr:sp macro="" textlink="">
      <xdr:nvSpPr>
        <xdr:cNvPr id="14" name="Line 2">
          <a:extLst>
            <a:ext uri="{FF2B5EF4-FFF2-40B4-BE49-F238E27FC236}">
              <a16:creationId xmlns:a16="http://schemas.microsoft.com/office/drawing/2014/main" id="{AC31538D-D579-4E41-94EF-413BB0E72672}"/>
            </a:ext>
          </a:extLst>
        </xdr:cNvPr>
        <xdr:cNvSpPr>
          <a:spLocks noChangeShapeType="1"/>
        </xdr:cNvSpPr>
      </xdr:nvSpPr>
      <xdr:spPr bwMode="auto">
        <a:xfrm>
          <a:off x="1744667" y="43703874"/>
          <a:ext cx="3379783" cy="6351"/>
        </a:xfrm>
        <a:prstGeom prst="line">
          <a:avLst/>
        </a:prstGeom>
        <a:noFill/>
        <a:ln w="9525">
          <a:solidFill>
            <a:srgbClr val="000000"/>
          </a:solidFill>
          <a:round/>
          <a:headEnd/>
          <a:tailEnd/>
        </a:ln>
      </xdr:spPr>
    </xdr:sp>
    <xdr:clientData/>
  </xdr:twoCellAnchor>
  <xdr:twoCellAnchor>
    <xdr:from>
      <xdr:col>1</xdr:col>
      <xdr:colOff>1389067</xdr:colOff>
      <xdr:row>252</xdr:row>
      <xdr:rowOff>-1</xdr:rowOff>
    </xdr:from>
    <xdr:to>
      <xdr:col>2</xdr:col>
      <xdr:colOff>312424</xdr:colOff>
      <xdr:row>252</xdr:row>
      <xdr:rowOff>7936</xdr:rowOff>
    </xdr:to>
    <xdr:sp macro="" textlink="">
      <xdr:nvSpPr>
        <xdr:cNvPr id="15" name="Line 2">
          <a:extLst>
            <a:ext uri="{FF2B5EF4-FFF2-40B4-BE49-F238E27FC236}">
              <a16:creationId xmlns:a16="http://schemas.microsoft.com/office/drawing/2014/main" id="{48472207-8047-47AF-8E87-10835FB3FE1B}"/>
            </a:ext>
          </a:extLst>
        </xdr:cNvPr>
        <xdr:cNvSpPr>
          <a:spLocks noChangeShapeType="1"/>
        </xdr:cNvSpPr>
      </xdr:nvSpPr>
      <xdr:spPr bwMode="auto">
        <a:xfrm>
          <a:off x="1744667" y="50463449"/>
          <a:ext cx="2796857" cy="7937"/>
        </a:xfrm>
        <a:prstGeom prst="line">
          <a:avLst/>
        </a:prstGeom>
        <a:noFill/>
        <a:ln w="9525">
          <a:solidFill>
            <a:srgbClr val="000000"/>
          </a:solidFill>
          <a:round/>
          <a:headEnd/>
          <a:tailEnd/>
        </a:ln>
      </xdr:spPr>
    </xdr:sp>
    <xdr:clientData/>
  </xdr:twoCellAnchor>
  <xdr:twoCellAnchor>
    <xdr:from>
      <xdr:col>1</xdr:col>
      <xdr:colOff>1389067</xdr:colOff>
      <xdr:row>252</xdr:row>
      <xdr:rowOff>-1</xdr:rowOff>
    </xdr:from>
    <xdr:to>
      <xdr:col>2</xdr:col>
      <xdr:colOff>312424</xdr:colOff>
      <xdr:row>252</xdr:row>
      <xdr:rowOff>7936</xdr:rowOff>
    </xdr:to>
    <xdr:sp macro="" textlink="">
      <xdr:nvSpPr>
        <xdr:cNvPr id="16" name="Line 2">
          <a:extLst>
            <a:ext uri="{FF2B5EF4-FFF2-40B4-BE49-F238E27FC236}">
              <a16:creationId xmlns:a16="http://schemas.microsoft.com/office/drawing/2014/main" id="{0005CE61-DD64-483C-8598-1342C7CCEF04}"/>
            </a:ext>
          </a:extLst>
        </xdr:cNvPr>
        <xdr:cNvSpPr>
          <a:spLocks noChangeShapeType="1"/>
        </xdr:cNvSpPr>
      </xdr:nvSpPr>
      <xdr:spPr bwMode="auto">
        <a:xfrm>
          <a:off x="1744667" y="50463449"/>
          <a:ext cx="2796857" cy="7937"/>
        </a:xfrm>
        <a:prstGeom prst="line">
          <a:avLst/>
        </a:prstGeom>
        <a:noFill/>
        <a:ln w="9525">
          <a:solidFill>
            <a:srgbClr val="000000"/>
          </a:solidFill>
          <a:round/>
          <a:headEnd/>
          <a:tailEnd/>
        </a:ln>
      </xdr:spPr>
    </xdr:sp>
    <xdr:clientData/>
  </xdr:twoCellAnchor>
  <xdr:twoCellAnchor>
    <xdr:from>
      <xdr:col>1</xdr:col>
      <xdr:colOff>1389067</xdr:colOff>
      <xdr:row>251</xdr:row>
      <xdr:rowOff>200024</xdr:rowOff>
    </xdr:from>
    <xdr:to>
      <xdr:col>2</xdr:col>
      <xdr:colOff>895350</xdr:colOff>
      <xdr:row>252</xdr:row>
      <xdr:rowOff>9525</xdr:rowOff>
    </xdr:to>
    <xdr:sp macro="" textlink="">
      <xdr:nvSpPr>
        <xdr:cNvPr id="17" name="Line 2">
          <a:extLst>
            <a:ext uri="{FF2B5EF4-FFF2-40B4-BE49-F238E27FC236}">
              <a16:creationId xmlns:a16="http://schemas.microsoft.com/office/drawing/2014/main" id="{A9CA0D14-6014-4353-A9DD-E4D9EEB686C5}"/>
            </a:ext>
          </a:extLst>
        </xdr:cNvPr>
        <xdr:cNvSpPr>
          <a:spLocks noChangeShapeType="1"/>
        </xdr:cNvSpPr>
      </xdr:nvSpPr>
      <xdr:spPr bwMode="auto">
        <a:xfrm>
          <a:off x="1744667" y="50466624"/>
          <a:ext cx="3379783" cy="6351"/>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customProperty" Target="../customProperty101.bin"/><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customProperty" Target="../customProperty102.bin"/><Relationship Id="rId1" Type="http://schemas.openxmlformats.org/officeDocument/2006/relationships/printerSettings" Target="../printerSettings/printerSettings101.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customProperty" Target="../customProperty36.bin"/><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37.bin"/><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customProperty" Target="../customProperty39.bin"/><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ustomProperty" Target="../customProperty40.bin"/><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customProperty" Target="../customProperty41.bin"/><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customProperty" Target="../customProperty42.bin"/><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customProperty" Target="../customProperty43.bin"/><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customProperty" Target="../customProperty44.bin"/><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customProperty" Target="../customProperty45.bin"/><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customProperty" Target="../customProperty46.bin"/><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customProperty" Target="../customProperty47.bin"/><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customProperty" Target="../customProperty48.bin"/><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49.bin"/><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customProperty" Target="../customProperty51.bin"/><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customProperty" Target="../customProperty52.bin"/><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customProperty" Target="../customProperty53.bin"/><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customProperty" Target="../customProperty54.bin"/><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customProperty" Target="../customProperty55.bin"/><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customProperty" Target="../customProperty56.bin"/><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customProperty" Target="../customProperty57.bin"/><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customProperty" Target="../customProperty58.bin"/><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customProperty" Target="../customProperty59.bin"/><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customProperty" Target="../customProperty60.bin"/><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customProperty" Target="../customProperty61.bin"/><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customProperty" Target="../customProperty62.bin"/><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63.bin"/><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customProperty" Target="../customProperty64.bin"/><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customProperty" Target="../customProperty65.bin"/><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customProperty" Target="../customProperty66.bin"/><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customProperty" Target="../customProperty67.bin"/><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customProperty" Target="../customProperty68.bin"/><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customProperty" Target="../customProperty69.bin"/><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customProperty" Target="../customProperty70.bin"/><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customProperty" Target="../customProperty71.bin"/><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customProperty" Target="../customProperty72.bin"/><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customProperty" Target="../customProperty73.bin"/><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customProperty" Target="../customProperty74.bin"/><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3" Type="http://schemas.openxmlformats.org/officeDocument/2006/relationships/customProperty" Target="../customProperty76.bin"/><Relationship Id="rId2" Type="http://schemas.openxmlformats.org/officeDocument/2006/relationships/customProperty" Target="../customProperty75.bin"/><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customProperty" Target="../customProperty77.bin"/><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customProperty" Target="../customProperty78.bin"/><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customProperty" Target="../customProperty79.bin"/><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customProperty" Target="../customProperty80.bin"/><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customProperty" Target="../customProperty81.bin"/><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customProperty" Target="../customProperty82.bin"/><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customProperty" Target="../customProperty83.bin"/><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customProperty" Target="../customProperty84.bin"/><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customProperty" Target="../customProperty85.bin"/><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customProperty" Target="../customProperty86.bin"/><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customProperty" Target="../customProperty87.bin"/><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88.bin"/><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customProperty" Target="../customProperty89.bin"/><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90.bin"/><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customProperty" Target="../customProperty91.bin"/><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customProperty" Target="../customProperty92.bin"/><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customProperty" Target="../customProperty93.bin"/><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customProperty" Target="../customProperty94.bin"/><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customProperty" Target="../customProperty95.bin"/><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customProperty" Target="../customProperty96.bin"/><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customProperty" Target="../customProperty97.bin"/><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customProperty" Target="../customProperty98.bin"/><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customProperty" Target="../customProperty99.bin"/><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customProperty" Target="../customProperty100.bin"/><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N349"/>
  <sheetViews>
    <sheetView tabSelected="1" zoomScale="90" zoomScaleNormal="90" workbookViewId="0">
      <selection activeCell="B350" sqref="B350"/>
    </sheetView>
  </sheetViews>
  <sheetFormatPr defaultColWidth="9.28515625" defaultRowHeight="15.75" x14ac:dyDescent="0.25"/>
  <cols>
    <col min="1" max="1" width="5.28515625" style="31" customWidth="1"/>
    <col min="2" max="2" width="89.28515625" style="31" customWidth="1"/>
    <col min="3" max="3" width="10.42578125" style="31" customWidth="1"/>
    <col min="4" max="4" width="1.5703125" style="31" customWidth="1"/>
    <col min="5" max="5" width="16.7109375" style="31" customWidth="1"/>
    <col min="6" max="6" width="1.5703125" style="31" customWidth="1"/>
    <col min="7" max="7" width="51.42578125" style="31" customWidth="1"/>
    <col min="8" max="9" width="5.28515625" style="4" customWidth="1"/>
    <col min="10" max="10" width="11.42578125" style="31" bestFit="1" customWidth="1"/>
    <col min="11" max="11" width="23.42578125" style="31" customWidth="1"/>
    <col min="12" max="12" width="2.140625" style="31" customWidth="1"/>
    <col min="13" max="13" width="19" style="31" customWidth="1"/>
    <col min="14" max="16384" width="9.28515625" style="31"/>
  </cols>
  <sheetData>
    <row r="2" spans="1:14" x14ac:dyDescent="0.25">
      <c r="A2" s="4"/>
      <c r="B2" s="1316" t="s">
        <v>0</v>
      </c>
      <c r="C2" s="1313"/>
      <c r="D2" s="1313"/>
      <c r="E2" s="1313"/>
      <c r="F2" s="1313"/>
      <c r="G2" s="1313"/>
    </row>
    <row r="3" spans="1:14" x14ac:dyDescent="0.25">
      <c r="A3" s="4" t="s">
        <v>1</v>
      </c>
      <c r="B3" s="1316" t="s">
        <v>2</v>
      </c>
      <c r="C3" s="1313"/>
      <c r="D3" s="1313"/>
      <c r="E3" s="1313"/>
      <c r="F3" s="1313"/>
      <c r="G3" s="1313"/>
    </row>
    <row r="4" spans="1:14" ht="17.25" x14ac:dyDescent="0.25">
      <c r="A4" s="4"/>
      <c r="B4" s="1316" t="s">
        <v>1988</v>
      </c>
      <c r="C4" s="1317"/>
      <c r="D4" s="1317"/>
      <c r="E4" s="1317"/>
      <c r="F4" s="1317"/>
      <c r="G4" s="1317"/>
    </row>
    <row r="5" spans="1:14" x14ac:dyDescent="0.25">
      <c r="A5" s="4"/>
      <c r="B5" s="1314" t="s">
        <v>2099</v>
      </c>
      <c r="C5" s="1314"/>
      <c r="D5" s="1314"/>
      <c r="E5" s="1314"/>
      <c r="F5" s="1314"/>
      <c r="G5" s="1314"/>
    </row>
    <row r="6" spans="1:14" x14ac:dyDescent="0.25">
      <c r="A6" s="4"/>
      <c r="B6" s="1312" t="s">
        <v>4</v>
      </c>
      <c r="C6" s="1313"/>
      <c r="D6" s="1313"/>
      <c r="E6" s="1313"/>
      <c r="F6" s="1313"/>
      <c r="G6" s="1313"/>
    </row>
    <row r="7" spans="1:14" x14ac:dyDescent="0.25">
      <c r="A7" s="4"/>
      <c r="B7" s="261"/>
      <c r="C7" s="1"/>
      <c r="D7" s="1"/>
      <c r="E7" s="1"/>
      <c r="F7" s="1"/>
      <c r="G7" s="1"/>
    </row>
    <row r="8" spans="1:14" x14ac:dyDescent="0.25">
      <c r="A8" s="4" t="s">
        <v>5</v>
      </c>
      <c r="E8" s="25"/>
      <c r="G8" s="4"/>
      <c r="H8" s="4" t="s">
        <v>5</v>
      </c>
      <c r="K8"/>
      <c r="L8"/>
      <c r="M8"/>
      <c r="N8"/>
    </row>
    <row r="9" spans="1:14" ht="15.75" customHeight="1" x14ac:dyDescent="0.25">
      <c r="A9" s="4" t="s">
        <v>6</v>
      </c>
      <c r="B9" s="1" t="s">
        <v>1</v>
      </c>
      <c r="E9" s="907" t="s">
        <v>7</v>
      </c>
      <c r="G9" s="848" t="s">
        <v>8</v>
      </c>
      <c r="H9" s="4" t="s">
        <v>6</v>
      </c>
      <c r="K9"/>
      <c r="L9"/>
      <c r="M9"/>
      <c r="N9"/>
    </row>
    <row r="10" spans="1:14" ht="17.25" x14ac:dyDescent="0.25">
      <c r="A10" s="4"/>
      <c r="B10" s="247" t="s">
        <v>1989</v>
      </c>
      <c r="E10" s="46"/>
      <c r="G10" s="4"/>
      <c r="K10"/>
      <c r="L10"/>
      <c r="M10"/>
      <c r="N10"/>
    </row>
    <row r="11" spans="1:14" x14ac:dyDescent="0.25">
      <c r="A11" s="4">
        <v>1</v>
      </c>
      <c r="B11" s="32" t="s">
        <v>10</v>
      </c>
      <c r="C11" s="257"/>
      <c r="D11" s="257"/>
      <c r="E11" s="7">
        <f>'Stmt AH'!E15</f>
        <v>101983.30953072449</v>
      </c>
      <c r="G11" s="4" t="s">
        <v>1501</v>
      </c>
      <c r="H11" s="4">
        <f>A11</f>
        <v>1</v>
      </c>
      <c r="J11" s="32"/>
      <c r="K11"/>
      <c r="L11"/>
      <c r="M11"/>
      <c r="N11"/>
    </row>
    <row r="12" spans="1:14" x14ac:dyDescent="0.25">
      <c r="A12" s="4">
        <f t="shared" ref="A12:A41" si="0">A11+1</f>
        <v>2</v>
      </c>
      <c r="B12" s="32" t="s">
        <v>1</v>
      </c>
      <c r="C12" s="257"/>
      <c r="D12" s="257"/>
      <c r="E12" s="8" t="s">
        <v>1</v>
      </c>
      <c r="G12" s="4"/>
      <c r="H12" s="4">
        <f t="shared" ref="H12:H41" si="1">H11+1</f>
        <v>2</v>
      </c>
      <c r="J12" s="32"/>
      <c r="K12"/>
      <c r="L12"/>
      <c r="M12"/>
      <c r="N12"/>
    </row>
    <row r="13" spans="1:14" x14ac:dyDescent="0.25">
      <c r="A13" s="4">
        <f t="shared" si="0"/>
        <v>3</v>
      </c>
      <c r="B13" s="32" t="s">
        <v>11</v>
      </c>
      <c r="C13" s="257"/>
      <c r="D13" s="257"/>
      <c r="E13" s="9">
        <f>'Stmt AH'!E30</f>
        <v>109183.36904379862</v>
      </c>
      <c r="F13" s="1"/>
      <c r="G13" s="4" t="s">
        <v>1698</v>
      </c>
      <c r="H13" s="4">
        <f t="shared" si="1"/>
        <v>3</v>
      </c>
      <c r="J13" s="32"/>
      <c r="K13"/>
      <c r="L13"/>
      <c r="M13"/>
      <c r="N13"/>
    </row>
    <row r="14" spans="1:14" x14ac:dyDescent="0.25">
      <c r="A14" s="4">
        <f t="shared" si="0"/>
        <v>4</v>
      </c>
      <c r="B14" s="32"/>
      <c r="C14" s="257"/>
      <c r="D14" s="257"/>
      <c r="E14" s="8"/>
      <c r="F14" s="1"/>
      <c r="G14" s="4"/>
      <c r="H14" s="4">
        <f t="shared" si="1"/>
        <v>4</v>
      </c>
      <c r="K14"/>
      <c r="L14"/>
      <c r="M14"/>
      <c r="N14"/>
    </row>
    <row r="15" spans="1:14" x14ac:dyDescent="0.25">
      <c r="A15" s="4">
        <f t="shared" si="0"/>
        <v>5</v>
      </c>
      <c r="B15" s="32" t="s">
        <v>12</v>
      </c>
      <c r="C15" s="257"/>
      <c r="D15" s="257"/>
      <c r="E15" s="841">
        <f>-'Stmt AH'!E20</f>
        <v>0</v>
      </c>
      <c r="G15" s="4" t="s">
        <v>1502</v>
      </c>
      <c r="H15" s="4">
        <f t="shared" si="1"/>
        <v>5</v>
      </c>
      <c r="K15"/>
      <c r="L15"/>
      <c r="M15"/>
      <c r="N15"/>
    </row>
    <row r="16" spans="1:14" x14ac:dyDescent="0.25">
      <c r="A16" s="4">
        <f t="shared" si="0"/>
        <v>6</v>
      </c>
      <c r="B16" s="32" t="s">
        <v>13</v>
      </c>
      <c r="C16" s="257"/>
      <c r="D16" s="257"/>
      <c r="E16" s="1106">
        <f>E11+E13+E15</f>
        <v>211166.67857452313</v>
      </c>
      <c r="F16" s="1"/>
      <c r="G16" s="4" t="s">
        <v>14</v>
      </c>
      <c r="H16" s="4">
        <f t="shared" si="1"/>
        <v>6</v>
      </c>
      <c r="J16" s="4"/>
      <c r="K16"/>
      <c r="L16"/>
      <c r="M16"/>
      <c r="N16"/>
    </row>
    <row r="17" spans="1:14" x14ac:dyDescent="0.25">
      <c r="A17" s="4">
        <f t="shared" si="0"/>
        <v>7</v>
      </c>
      <c r="E17" s="6"/>
      <c r="G17" s="4"/>
      <c r="H17" s="4">
        <f t="shared" si="1"/>
        <v>7</v>
      </c>
      <c r="K17"/>
      <c r="L17"/>
      <c r="M17"/>
      <c r="N17"/>
    </row>
    <row r="18" spans="1:14" x14ac:dyDescent="0.25">
      <c r="A18" s="4">
        <f t="shared" si="0"/>
        <v>8</v>
      </c>
      <c r="B18" s="31" t="s">
        <v>15</v>
      </c>
      <c r="C18" s="257"/>
      <c r="D18" s="257"/>
      <c r="E18" s="1107">
        <f>'Stmt AJ'!E27</f>
        <v>305647.17753920035</v>
      </c>
      <c r="F18" s="71"/>
      <c r="G18" s="4" t="s">
        <v>16</v>
      </c>
      <c r="H18" s="4">
        <f t="shared" si="1"/>
        <v>8</v>
      </c>
      <c r="K18"/>
      <c r="L18"/>
      <c r="M18"/>
      <c r="N18"/>
    </row>
    <row r="19" spans="1:14" x14ac:dyDescent="0.25">
      <c r="A19" s="4">
        <f t="shared" si="0"/>
        <v>9</v>
      </c>
      <c r="E19" s="11" t="s">
        <v>1</v>
      </c>
      <c r="G19" s="4"/>
      <c r="H19" s="4">
        <f t="shared" si="1"/>
        <v>9</v>
      </c>
      <c r="K19"/>
      <c r="L19"/>
      <c r="M19"/>
      <c r="N19"/>
    </row>
    <row r="20" spans="1:14" ht="18.75" x14ac:dyDescent="0.25">
      <c r="A20" s="4">
        <f t="shared" si="0"/>
        <v>10</v>
      </c>
      <c r="B20" s="31" t="s">
        <v>17</v>
      </c>
      <c r="E20" s="12">
        <f>'Stmt AJ'!E33</f>
        <v>0</v>
      </c>
      <c r="G20" s="4" t="s">
        <v>18</v>
      </c>
      <c r="H20" s="4">
        <f t="shared" si="1"/>
        <v>10</v>
      </c>
      <c r="J20" s="32"/>
      <c r="K20"/>
      <c r="L20"/>
      <c r="M20"/>
      <c r="N20"/>
    </row>
    <row r="21" spans="1:14" x14ac:dyDescent="0.25">
      <c r="A21" s="4">
        <f t="shared" si="0"/>
        <v>11</v>
      </c>
      <c r="E21" s="11"/>
      <c r="G21" s="4"/>
      <c r="H21" s="4">
        <f t="shared" si="1"/>
        <v>11</v>
      </c>
      <c r="K21"/>
      <c r="L21"/>
      <c r="M21"/>
      <c r="N21"/>
    </row>
    <row r="22" spans="1:14" x14ac:dyDescent="0.25">
      <c r="A22" s="4">
        <f t="shared" si="0"/>
        <v>12</v>
      </c>
      <c r="B22" s="31" t="s">
        <v>19</v>
      </c>
      <c r="C22" s="257"/>
      <c r="D22" s="257"/>
      <c r="E22" s="9">
        <f>'Stmt AK'!E15</f>
        <v>82985.6869188243</v>
      </c>
      <c r="F22" s="1"/>
      <c r="G22" s="4" t="s">
        <v>1649</v>
      </c>
      <c r="H22" s="4">
        <f t="shared" si="1"/>
        <v>12</v>
      </c>
      <c r="J22" s="32"/>
      <c r="K22"/>
      <c r="L22"/>
      <c r="M22"/>
      <c r="N22"/>
    </row>
    <row r="23" spans="1:14" x14ac:dyDescent="0.25">
      <c r="A23" s="4">
        <f t="shared" si="0"/>
        <v>13</v>
      </c>
      <c r="B23" s="32"/>
      <c r="C23" s="257"/>
      <c r="D23" s="257"/>
      <c r="E23" s="8"/>
      <c r="G23" s="4"/>
      <c r="H23" s="4">
        <f t="shared" si="1"/>
        <v>13</v>
      </c>
      <c r="K23"/>
      <c r="L23"/>
      <c r="M23"/>
      <c r="N23"/>
    </row>
    <row r="24" spans="1:14" x14ac:dyDescent="0.25">
      <c r="A24" s="4">
        <f t="shared" si="0"/>
        <v>14</v>
      </c>
      <c r="B24" s="31" t="s">
        <v>20</v>
      </c>
      <c r="C24" s="257"/>
      <c r="D24" s="257"/>
      <c r="E24" s="841">
        <f>'Stmt AK'!E22</f>
        <v>3908.700875770583</v>
      </c>
      <c r="F24" s="1"/>
      <c r="G24" s="4" t="s">
        <v>1648</v>
      </c>
      <c r="H24" s="4">
        <f t="shared" si="1"/>
        <v>14</v>
      </c>
      <c r="J24" s="32"/>
      <c r="K24"/>
      <c r="L24"/>
      <c r="M24"/>
      <c r="N24"/>
    </row>
    <row r="25" spans="1:14" x14ac:dyDescent="0.25">
      <c r="A25" s="4">
        <f t="shared" si="0"/>
        <v>15</v>
      </c>
      <c r="B25" s="32" t="s">
        <v>21</v>
      </c>
      <c r="C25" s="257"/>
      <c r="D25" s="257"/>
      <c r="E25" s="1106">
        <f>SUM(E16+E18+E20+E22+E24)</f>
        <v>603708.24390831834</v>
      </c>
      <c r="F25" s="1"/>
      <c r="G25" s="4" t="s">
        <v>22</v>
      </c>
      <c r="H25" s="4">
        <f t="shared" si="1"/>
        <v>15</v>
      </c>
      <c r="K25"/>
      <c r="L25"/>
      <c r="M25"/>
      <c r="N25"/>
    </row>
    <row r="26" spans="1:14" x14ac:dyDescent="0.25">
      <c r="A26" s="4">
        <f t="shared" si="0"/>
        <v>16</v>
      </c>
      <c r="B26" s="32"/>
      <c r="C26" s="257"/>
      <c r="D26" s="257"/>
      <c r="E26" s="13"/>
      <c r="G26" s="4"/>
      <c r="H26" s="4">
        <f t="shared" si="1"/>
        <v>16</v>
      </c>
      <c r="K26"/>
      <c r="L26"/>
      <c r="M26"/>
      <c r="N26"/>
    </row>
    <row r="27" spans="1:14" ht="18.75" x14ac:dyDescent="0.25">
      <c r="A27" s="4">
        <f t="shared" si="0"/>
        <v>17</v>
      </c>
      <c r="B27" s="32" t="s">
        <v>1579</v>
      </c>
      <c r="C27" s="257"/>
      <c r="D27" s="257"/>
      <c r="E27" s="1166">
        <f>IFERROR('Stmt AV'!F143,0)</f>
        <v>9.6242072833420123E-2</v>
      </c>
      <c r="G27" s="4" t="s">
        <v>1665</v>
      </c>
      <c r="H27" s="4">
        <f t="shared" si="1"/>
        <v>17</v>
      </c>
      <c r="K27"/>
      <c r="L27"/>
      <c r="M27"/>
      <c r="N27"/>
    </row>
    <row r="28" spans="1:14" x14ac:dyDescent="0.25">
      <c r="A28" s="4">
        <f t="shared" si="0"/>
        <v>18</v>
      </c>
      <c r="B28" s="32" t="s">
        <v>23</v>
      </c>
      <c r="C28" s="257"/>
      <c r="D28" s="257"/>
      <c r="E28" s="1167">
        <f>E139</f>
        <v>5651620.4488822836</v>
      </c>
      <c r="G28" s="4" t="s">
        <v>1893</v>
      </c>
      <c r="H28" s="4">
        <f t="shared" si="1"/>
        <v>18</v>
      </c>
      <c r="K28"/>
      <c r="L28"/>
      <c r="M28"/>
      <c r="N28"/>
    </row>
    <row r="29" spans="1:14" x14ac:dyDescent="0.25">
      <c r="A29" s="4">
        <f t="shared" si="0"/>
        <v>19</v>
      </c>
      <c r="B29" s="31" t="s">
        <v>1580</v>
      </c>
      <c r="C29" s="257"/>
      <c r="D29" s="257"/>
      <c r="E29" s="866">
        <f>E27*E28</f>
        <v>543923.66686817526</v>
      </c>
      <c r="G29" s="4" t="s">
        <v>24</v>
      </c>
      <c r="H29" s="4">
        <f t="shared" si="1"/>
        <v>19</v>
      </c>
      <c r="K29"/>
      <c r="L29"/>
      <c r="M29"/>
      <c r="N29"/>
    </row>
    <row r="30" spans="1:14" x14ac:dyDescent="0.25">
      <c r="A30" s="4">
        <f t="shared" si="0"/>
        <v>20</v>
      </c>
      <c r="B30" s="32"/>
      <c r="C30" s="257"/>
      <c r="D30" s="257"/>
      <c r="E30" s="1155"/>
      <c r="G30" s="4"/>
      <c r="H30" s="4">
        <f t="shared" si="1"/>
        <v>20</v>
      </c>
      <c r="K30"/>
      <c r="L30"/>
      <c r="M30"/>
      <c r="N30"/>
    </row>
    <row r="31" spans="1:14" ht="18.75" x14ac:dyDescent="0.25">
      <c r="A31" s="4">
        <f t="shared" si="0"/>
        <v>21</v>
      </c>
      <c r="B31" s="32" t="s">
        <v>1581</v>
      </c>
      <c r="C31" s="257"/>
      <c r="D31" s="257"/>
      <c r="E31" s="1168">
        <f>IFERROR('Stmt AV'!F183,0)</f>
        <v>0</v>
      </c>
      <c r="G31" s="4" t="s">
        <v>1667</v>
      </c>
      <c r="H31" s="4">
        <f t="shared" si="1"/>
        <v>21</v>
      </c>
      <c r="J31" s="35"/>
      <c r="K31"/>
      <c r="L31"/>
      <c r="M31"/>
      <c r="N31"/>
    </row>
    <row r="32" spans="1:14" x14ac:dyDescent="0.25">
      <c r="A32" s="4">
        <f t="shared" si="0"/>
        <v>22</v>
      </c>
      <c r="B32" s="32" t="s">
        <v>23</v>
      </c>
      <c r="C32" s="257"/>
      <c r="D32" s="257"/>
      <c r="E32" s="1167">
        <f>E139-E121</f>
        <v>5651620.4488822836</v>
      </c>
      <c r="G32" s="4" t="s">
        <v>1894</v>
      </c>
      <c r="H32" s="4">
        <f t="shared" si="1"/>
        <v>22</v>
      </c>
      <c r="K32"/>
      <c r="L32"/>
      <c r="M32"/>
      <c r="N32"/>
    </row>
    <row r="33" spans="1:14" x14ac:dyDescent="0.25">
      <c r="A33" s="4">
        <f t="shared" si="0"/>
        <v>23</v>
      </c>
      <c r="B33" s="31" t="s">
        <v>1584</v>
      </c>
      <c r="C33" s="257"/>
      <c r="D33" s="257"/>
      <c r="E33" s="866">
        <f>E31*E32</f>
        <v>0</v>
      </c>
      <c r="G33" s="4" t="s">
        <v>1585</v>
      </c>
      <c r="H33" s="4">
        <f t="shared" si="1"/>
        <v>23</v>
      </c>
      <c r="K33"/>
      <c r="L33"/>
      <c r="M33"/>
      <c r="N33"/>
    </row>
    <row r="34" spans="1:14" x14ac:dyDescent="0.25">
      <c r="A34" s="4">
        <f t="shared" si="0"/>
        <v>24</v>
      </c>
      <c r="C34" s="257"/>
      <c r="D34" s="257"/>
      <c r="E34" s="13"/>
      <c r="G34" s="4"/>
      <c r="H34" s="4">
        <f t="shared" si="1"/>
        <v>24</v>
      </c>
      <c r="K34"/>
      <c r="L34"/>
      <c r="M34"/>
      <c r="N34"/>
    </row>
    <row r="35" spans="1:14" x14ac:dyDescent="0.25">
      <c r="A35" s="4">
        <f t="shared" si="0"/>
        <v>25</v>
      </c>
      <c r="B35" s="31" t="s">
        <v>25</v>
      </c>
      <c r="E35" s="1125">
        <f>'Stmt AQ'!E13</f>
        <v>1304.0991895338727</v>
      </c>
      <c r="G35" s="4" t="s">
        <v>26</v>
      </c>
      <c r="H35" s="4">
        <f t="shared" si="1"/>
        <v>25</v>
      </c>
      <c r="I35" s="357"/>
      <c r="J35" s="32"/>
      <c r="K35"/>
      <c r="L35"/>
      <c r="M35"/>
      <c r="N35"/>
    </row>
    <row r="36" spans="1:14" x14ac:dyDescent="0.25">
      <c r="A36" s="4">
        <f t="shared" si="0"/>
        <v>26</v>
      </c>
      <c r="B36" s="31" t="s">
        <v>27</v>
      </c>
      <c r="E36" s="9">
        <f>'Stmt AU'!E23</f>
        <v>-11869.177</v>
      </c>
      <c r="F36" s="1"/>
      <c r="G36" s="4" t="s">
        <v>28</v>
      </c>
      <c r="H36" s="4">
        <f t="shared" si="1"/>
        <v>26</v>
      </c>
      <c r="I36" s="357"/>
      <c r="J36" s="32"/>
      <c r="K36"/>
      <c r="L36"/>
      <c r="M36"/>
      <c r="N36"/>
    </row>
    <row r="37" spans="1:14" ht="18.75" x14ac:dyDescent="0.25">
      <c r="A37" s="4">
        <f t="shared" si="0"/>
        <v>27</v>
      </c>
      <c r="B37" s="31" t="s">
        <v>1895</v>
      </c>
      <c r="E37" s="855">
        <v>-3000</v>
      </c>
      <c r="G37" s="4" t="s">
        <v>1808</v>
      </c>
      <c r="H37" s="4">
        <f t="shared" si="1"/>
        <v>27</v>
      </c>
      <c r="I37" s="357"/>
      <c r="J37" s="32"/>
      <c r="K37"/>
      <c r="L37"/>
      <c r="M37"/>
      <c r="N37"/>
    </row>
    <row r="38" spans="1:14" x14ac:dyDescent="0.25">
      <c r="A38" s="4">
        <f t="shared" si="0"/>
        <v>28</v>
      </c>
      <c r="B38" s="31" t="s">
        <v>29</v>
      </c>
      <c r="E38" s="9">
        <f>'Stmt Misc.'!E10</f>
        <v>0</v>
      </c>
      <c r="G38" s="4" t="s">
        <v>30</v>
      </c>
      <c r="H38" s="4">
        <f t="shared" si="1"/>
        <v>28</v>
      </c>
      <c r="I38" s="357"/>
      <c r="K38"/>
      <c r="L38"/>
      <c r="M38"/>
      <c r="N38"/>
    </row>
    <row r="39" spans="1:14" x14ac:dyDescent="0.25">
      <c r="A39" s="4">
        <f t="shared" si="0"/>
        <v>29</v>
      </c>
      <c r="B39" s="248" t="s">
        <v>31</v>
      </c>
      <c r="E39" s="841">
        <f>'Stmt AU'!E25</f>
        <v>0</v>
      </c>
      <c r="G39" s="4" t="s">
        <v>32</v>
      </c>
      <c r="H39" s="4">
        <f t="shared" si="1"/>
        <v>29</v>
      </c>
      <c r="I39" s="357"/>
      <c r="J39" s="32"/>
      <c r="K39"/>
      <c r="L39"/>
      <c r="M39"/>
      <c r="N39"/>
    </row>
    <row r="40" spans="1:14" x14ac:dyDescent="0.25">
      <c r="A40" s="4">
        <f t="shared" si="0"/>
        <v>30</v>
      </c>
      <c r="E40" s="11" t="s">
        <v>1</v>
      </c>
      <c r="G40" s="4"/>
      <c r="H40" s="4">
        <f t="shared" si="1"/>
        <v>30</v>
      </c>
      <c r="I40" s="357"/>
      <c r="J40" s="32"/>
      <c r="K40"/>
      <c r="L40"/>
      <c r="M40"/>
      <c r="N40"/>
    </row>
    <row r="41" spans="1:14" ht="19.5" thickBot="1" x14ac:dyDescent="0.3">
      <c r="A41" s="4">
        <f t="shared" si="0"/>
        <v>31</v>
      </c>
      <c r="B41" s="31" t="s">
        <v>1990</v>
      </c>
      <c r="C41" s="257"/>
      <c r="D41" s="257"/>
      <c r="E41" s="14">
        <f>E25+E29+E33+SUM(E35:E39)</f>
        <v>1134066.8329660275</v>
      </c>
      <c r="F41" s="1"/>
      <c r="G41" s="4" t="s">
        <v>1896</v>
      </c>
      <c r="H41" s="4">
        <f t="shared" si="1"/>
        <v>31</v>
      </c>
      <c r="I41" s="357"/>
      <c r="J41" s="32"/>
      <c r="K41"/>
      <c r="L41"/>
      <c r="M41"/>
      <c r="N41"/>
    </row>
    <row r="42" spans="1:14" ht="16.5" thickTop="1" x14ac:dyDescent="0.25">
      <c r="A42" s="4"/>
      <c r="C42" s="257"/>
      <c r="D42" s="257"/>
      <c r="E42" s="15"/>
      <c r="F42" s="1"/>
      <c r="G42" s="4"/>
      <c r="J42" s="32"/>
      <c r="K42"/>
      <c r="L42"/>
      <c r="M42"/>
      <c r="N42"/>
    </row>
    <row r="43" spans="1:14" x14ac:dyDescent="0.25">
      <c r="A43" s="4"/>
      <c r="C43" s="257"/>
      <c r="D43" s="257"/>
      <c r="E43" s="15"/>
      <c r="F43" s="1"/>
      <c r="G43" s="4"/>
      <c r="J43" s="32"/>
      <c r="K43"/>
      <c r="L43"/>
      <c r="M43"/>
      <c r="N43"/>
    </row>
    <row r="44" spans="1:14" ht="18.75" x14ac:dyDescent="0.25">
      <c r="A44" s="252">
        <v>1</v>
      </c>
      <c r="B44" s="31" t="s">
        <v>33</v>
      </c>
      <c r="C44" s="257"/>
      <c r="D44" s="257"/>
      <c r="E44" s="15"/>
      <c r="F44" s="1"/>
      <c r="G44" s="4"/>
      <c r="J44" s="1114"/>
      <c r="K44"/>
      <c r="L44"/>
      <c r="M44"/>
      <c r="N44"/>
    </row>
    <row r="45" spans="1:14" ht="18.75" x14ac:dyDescent="0.25">
      <c r="A45" s="252"/>
      <c r="C45" s="257"/>
      <c r="D45" s="257"/>
      <c r="E45" s="15"/>
      <c r="F45" s="1"/>
      <c r="G45" s="4"/>
      <c r="J45" s="32"/>
      <c r="K45"/>
      <c r="L45"/>
      <c r="M45"/>
      <c r="N45"/>
    </row>
    <row r="46" spans="1:14" x14ac:dyDescent="0.25">
      <c r="A46" s="4"/>
      <c r="C46" s="257"/>
      <c r="D46" s="257"/>
      <c r="E46" s="15"/>
      <c r="F46" s="1"/>
      <c r="G46" s="4"/>
      <c r="J46" s="32"/>
      <c r="K46"/>
      <c r="L46"/>
      <c r="M46"/>
      <c r="N46"/>
    </row>
    <row r="47" spans="1:14" x14ac:dyDescent="0.25">
      <c r="A47" s="4"/>
      <c r="B47" s="1316" t="s">
        <v>0</v>
      </c>
      <c r="C47" s="1313"/>
      <c r="D47" s="1313"/>
      <c r="E47" s="1313"/>
      <c r="F47" s="1313"/>
      <c r="G47" s="1313"/>
      <c r="J47" s="32"/>
      <c r="K47"/>
      <c r="L47"/>
      <c r="M47"/>
      <c r="N47"/>
    </row>
    <row r="48" spans="1:14" x14ac:dyDescent="0.25">
      <c r="A48" s="4"/>
      <c r="B48" s="1316" t="s">
        <v>2</v>
      </c>
      <c r="C48" s="1313"/>
      <c r="D48" s="1313"/>
      <c r="E48" s="1313"/>
      <c r="F48" s="1313"/>
      <c r="G48" s="1313"/>
      <c r="J48" s="32"/>
      <c r="K48"/>
      <c r="L48"/>
      <c r="M48"/>
      <c r="N48"/>
    </row>
    <row r="49" spans="1:14" ht="17.25" x14ac:dyDescent="0.25">
      <c r="A49" s="4"/>
      <c r="B49" s="1316" t="s">
        <v>1988</v>
      </c>
      <c r="C49" s="1317"/>
      <c r="D49" s="1317"/>
      <c r="E49" s="1317"/>
      <c r="F49" s="1317"/>
      <c r="G49" s="1317"/>
      <c r="J49" s="32"/>
      <c r="K49"/>
      <c r="L49"/>
      <c r="M49"/>
      <c r="N49"/>
    </row>
    <row r="50" spans="1:14" x14ac:dyDescent="0.25">
      <c r="A50" s="4"/>
      <c r="B50" s="1318" t="str">
        <f>B5</f>
        <v>For the Base Period &amp; True-Up Period Ending December 31, 2025</v>
      </c>
      <c r="C50" s="1319"/>
      <c r="D50" s="1319"/>
      <c r="E50" s="1319"/>
      <c r="F50" s="1319"/>
      <c r="G50" s="1319"/>
      <c r="J50" s="32"/>
      <c r="K50"/>
      <c r="L50"/>
      <c r="M50"/>
      <c r="N50"/>
    </row>
    <row r="51" spans="1:14" x14ac:dyDescent="0.25">
      <c r="A51" s="4"/>
      <c r="B51" s="1312" t="s">
        <v>4</v>
      </c>
      <c r="C51" s="1313"/>
      <c r="D51" s="1313"/>
      <c r="E51" s="1313"/>
      <c r="F51" s="1313"/>
      <c r="G51" s="1313"/>
      <c r="J51" s="32"/>
      <c r="K51"/>
      <c r="L51"/>
      <c r="M51"/>
      <c r="N51"/>
    </row>
    <row r="52" spans="1:14" x14ac:dyDescent="0.25">
      <c r="A52" s="4"/>
      <c r="C52" s="257"/>
      <c r="D52" s="257"/>
      <c r="E52" s="15"/>
      <c r="F52" s="1"/>
      <c r="G52" s="4"/>
      <c r="J52" s="32"/>
      <c r="K52"/>
      <c r="L52"/>
      <c r="M52"/>
      <c r="N52"/>
    </row>
    <row r="53" spans="1:14" x14ac:dyDescent="0.25">
      <c r="A53" s="4" t="s">
        <v>5</v>
      </c>
      <c r="E53" s="25"/>
      <c r="G53" s="4"/>
      <c r="H53" s="4" t="s">
        <v>5</v>
      </c>
      <c r="J53" s="32"/>
      <c r="K53"/>
      <c r="L53"/>
      <c r="M53"/>
      <c r="N53"/>
    </row>
    <row r="54" spans="1:14" x14ac:dyDescent="0.25">
      <c r="A54" s="4" t="s">
        <v>6</v>
      </c>
      <c r="B54" s="1" t="s">
        <v>1</v>
      </c>
      <c r="E54" s="907" t="s">
        <v>7</v>
      </c>
      <c r="G54" s="848" t="s">
        <v>8</v>
      </c>
      <c r="H54" s="4" t="s">
        <v>6</v>
      </c>
      <c r="J54" s="32"/>
      <c r="K54"/>
      <c r="L54"/>
      <c r="M54"/>
      <c r="N54"/>
    </row>
    <row r="55" spans="1:14" ht="18.75" x14ac:dyDescent="0.25">
      <c r="A55" s="4"/>
      <c r="B55" s="247" t="s">
        <v>1991</v>
      </c>
      <c r="E55" s="4"/>
      <c r="G55" s="4"/>
      <c r="J55" s="32"/>
      <c r="K55"/>
      <c r="L55"/>
      <c r="M55"/>
      <c r="N55"/>
    </row>
    <row r="56" spans="1:14" x14ac:dyDescent="0.25">
      <c r="A56" s="4">
        <v>1</v>
      </c>
      <c r="B56" s="32" t="s">
        <v>35</v>
      </c>
      <c r="C56" s="257"/>
      <c r="D56" s="257"/>
      <c r="E56" s="16">
        <f>'Stmt AJ'!E29</f>
        <v>0</v>
      </c>
      <c r="G56" s="4" t="s">
        <v>36</v>
      </c>
      <c r="H56" s="4">
        <f>A56</f>
        <v>1</v>
      </c>
      <c r="J56" s="32"/>
      <c r="K56"/>
      <c r="L56"/>
      <c r="M56"/>
      <c r="N56"/>
    </row>
    <row r="57" spans="1:14" x14ac:dyDescent="0.25">
      <c r="A57" s="4">
        <f t="shared" ref="A57:A94" si="2">A56+1</f>
        <v>2</v>
      </c>
      <c r="B57" s="32"/>
      <c r="C57" s="257"/>
      <c r="D57" s="257"/>
      <c r="E57" s="15"/>
      <c r="G57" s="4"/>
      <c r="H57" s="4">
        <f t="shared" ref="H57:H71" si="3">H56+1</f>
        <v>2</v>
      </c>
      <c r="K57"/>
      <c r="L57"/>
      <c r="M57"/>
      <c r="N57"/>
    </row>
    <row r="58" spans="1:14" ht="18.75" x14ac:dyDescent="0.25">
      <c r="A58" s="4">
        <f t="shared" si="2"/>
        <v>3</v>
      </c>
      <c r="B58" s="32" t="s">
        <v>1586</v>
      </c>
      <c r="C58" s="257"/>
      <c r="D58" s="257"/>
      <c r="E58" s="1169">
        <f>IFERROR('Stmt AV'!F232,0)</f>
        <v>1.9329787401339494E-2</v>
      </c>
      <c r="G58" s="4" t="s">
        <v>1668</v>
      </c>
      <c r="H58" s="4">
        <f t="shared" si="3"/>
        <v>3</v>
      </c>
      <c r="K58"/>
      <c r="L58"/>
      <c r="M58"/>
      <c r="N58"/>
    </row>
    <row r="59" spans="1:14" x14ac:dyDescent="0.25">
      <c r="A59" s="4">
        <f t="shared" si="2"/>
        <v>4</v>
      </c>
      <c r="B59" s="31" t="s">
        <v>1588</v>
      </c>
      <c r="C59" s="257"/>
      <c r="D59" s="257"/>
      <c r="E59" s="1170">
        <f>E144</f>
        <v>0</v>
      </c>
      <c r="G59" s="4" t="s">
        <v>1897</v>
      </c>
      <c r="H59" s="4">
        <f t="shared" si="3"/>
        <v>4</v>
      </c>
      <c r="K59"/>
      <c r="L59"/>
      <c r="M59"/>
      <c r="N59"/>
    </row>
    <row r="60" spans="1:14" x14ac:dyDescent="0.25">
      <c r="A60" s="4">
        <f t="shared" si="2"/>
        <v>5</v>
      </c>
      <c r="B60" s="31" t="s">
        <v>1590</v>
      </c>
      <c r="C60" s="257"/>
      <c r="D60" s="257"/>
      <c r="E60" s="1187">
        <f>E58*E59</f>
        <v>0</v>
      </c>
      <c r="G60" s="4" t="s">
        <v>1591</v>
      </c>
      <c r="H60" s="4">
        <f t="shared" si="3"/>
        <v>5</v>
      </c>
      <c r="K60"/>
      <c r="L60"/>
      <c r="M60"/>
      <c r="N60"/>
    </row>
    <row r="61" spans="1:14" x14ac:dyDescent="0.25">
      <c r="A61" s="4">
        <f t="shared" si="2"/>
        <v>6</v>
      </c>
      <c r="C61" s="257"/>
      <c r="D61" s="257"/>
      <c r="E61" s="1171"/>
      <c r="G61" s="4"/>
      <c r="H61" s="4">
        <f t="shared" si="3"/>
        <v>6</v>
      </c>
      <c r="K61"/>
      <c r="L61"/>
      <c r="M61"/>
      <c r="N61"/>
    </row>
    <row r="62" spans="1:14" ht="18.75" x14ac:dyDescent="0.25">
      <c r="A62" s="4">
        <f t="shared" si="2"/>
        <v>7</v>
      </c>
      <c r="B62" s="32" t="s">
        <v>1581</v>
      </c>
      <c r="C62" s="257"/>
      <c r="D62" s="257"/>
      <c r="E62" s="1169">
        <f>IFERROR('Stmt AV'!F272,0)</f>
        <v>0</v>
      </c>
      <c r="G62" s="4" t="s">
        <v>1678</v>
      </c>
      <c r="H62" s="4">
        <f t="shared" si="3"/>
        <v>7</v>
      </c>
      <c r="K62"/>
      <c r="L62"/>
      <c r="M62"/>
      <c r="N62"/>
    </row>
    <row r="63" spans="1:14" x14ac:dyDescent="0.25">
      <c r="A63" s="4">
        <f t="shared" si="2"/>
        <v>8</v>
      </c>
      <c r="B63" s="31" t="s">
        <v>1588</v>
      </c>
      <c r="C63" s="257"/>
      <c r="D63" s="257"/>
      <c r="E63" s="1177">
        <f>E144</f>
        <v>0</v>
      </c>
      <c r="G63" s="4" t="s">
        <v>1897</v>
      </c>
      <c r="H63" s="4">
        <f t="shared" si="3"/>
        <v>8</v>
      </c>
      <c r="K63"/>
      <c r="L63"/>
      <c r="M63"/>
      <c r="N63"/>
    </row>
    <row r="64" spans="1:14" x14ac:dyDescent="0.25">
      <c r="A64" s="4">
        <f t="shared" si="2"/>
        <v>9</v>
      </c>
      <c r="B64" s="31" t="s">
        <v>1584</v>
      </c>
      <c r="C64" s="257"/>
      <c r="D64" s="257"/>
      <c r="E64" s="1187">
        <f>E62*E63</f>
        <v>0</v>
      </c>
      <c r="G64" s="4" t="s">
        <v>37</v>
      </c>
      <c r="H64" s="4">
        <f t="shared" si="3"/>
        <v>9</v>
      </c>
      <c r="K64"/>
      <c r="L64"/>
      <c r="M64"/>
      <c r="N64"/>
    </row>
    <row r="65" spans="1:14" x14ac:dyDescent="0.25">
      <c r="A65" s="4">
        <f t="shared" si="2"/>
        <v>10</v>
      </c>
      <c r="B65" s="32"/>
      <c r="C65" s="257"/>
      <c r="D65" s="257"/>
      <c r="E65" s="15"/>
      <c r="G65" s="4"/>
      <c r="H65" s="4">
        <f t="shared" si="3"/>
        <v>10</v>
      </c>
      <c r="K65"/>
      <c r="L65"/>
      <c r="M65"/>
      <c r="N65"/>
    </row>
    <row r="66" spans="1:14" ht="16.5" thickBot="1" x14ac:dyDescent="0.3">
      <c r="A66" s="4">
        <f t="shared" si="2"/>
        <v>11</v>
      </c>
      <c r="B66" s="31" t="s">
        <v>1992</v>
      </c>
      <c r="E66" s="24">
        <f>E56+E60+E64</f>
        <v>0</v>
      </c>
      <c r="G66" s="4" t="s">
        <v>1669</v>
      </c>
      <c r="H66" s="4">
        <f t="shared" si="3"/>
        <v>11</v>
      </c>
      <c r="K66"/>
      <c r="L66"/>
      <c r="M66"/>
      <c r="N66"/>
    </row>
    <row r="67" spans="1:14" ht="16.5" thickTop="1" x14ac:dyDescent="0.25">
      <c r="A67" s="4">
        <f t="shared" si="2"/>
        <v>12</v>
      </c>
      <c r="E67" s="10"/>
      <c r="G67" s="4"/>
      <c r="H67" s="4">
        <f t="shared" si="3"/>
        <v>12</v>
      </c>
      <c r="I67" s="357"/>
      <c r="K67"/>
      <c r="L67"/>
      <c r="M67"/>
      <c r="N67"/>
    </row>
    <row r="68" spans="1:14" ht="18.75" x14ac:dyDescent="0.25">
      <c r="A68" s="4">
        <f t="shared" si="2"/>
        <v>13</v>
      </c>
      <c r="B68" s="33" t="s">
        <v>1993</v>
      </c>
      <c r="E68" s="10"/>
      <c r="G68" s="4"/>
      <c r="H68" s="4">
        <f t="shared" si="3"/>
        <v>13</v>
      </c>
      <c r="I68" s="357"/>
      <c r="K68"/>
      <c r="L68"/>
      <c r="M68"/>
      <c r="N68"/>
    </row>
    <row r="69" spans="1:14" x14ac:dyDescent="0.25">
      <c r="A69" s="4">
        <f t="shared" si="2"/>
        <v>14</v>
      </c>
      <c r="B69" s="32" t="s">
        <v>40</v>
      </c>
      <c r="E69" s="7">
        <f>'Stmt AJ'!E31</f>
        <v>0</v>
      </c>
      <c r="G69" s="4" t="s">
        <v>41</v>
      </c>
      <c r="H69" s="4">
        <f t="shared" si="3"/>
        <v>14</v>
      </c>
      <c r="I69" s="357"/>
      <c r="K69"/>
      <c r="L69"/>
      <c r="M69"/>
      <c r="N69"/>
    </row>
    <row r="70" spans="1:14" x14ac:dyDescent="0.25">
      <c r="A70" s="4">
        <f t="shared" si="2"/>
        <v>15</v>
      </c>
      <c r="B70" s="32"/>
      <c r="E70" s="18"/>
      <c r="G70" s="4"/>
      <c r="H70" s="4">
        <f t="shared" si="3"/>
        <v>15</v>
      </c>
      <c r="I70" s="357"/>
      <c r="K70"/>
      <c r="L70"/>
      <c r="M70"/>
      <c r="N70"/>
    </row>
    <row r="71" spans="1:14" x14ac:dyDescent="0.25">
      <c r="A71" s="4">
        <f t="shared" si="2"/>
        <v>16</v>
      </c>
      <c r="B71" s="32" t="s">
        <v>42</v>
      </c>
      <c r="E71" s="7">
        <f>E149</f>
        <v>0</v>
      </c>
      <c r="G71" s="4" t="s">
        <v>1898</v>
      </c>
      <c r="H71" s="4">
        <f t="shared" si="3"/>
        <v>16</v>
      </c>
      <c r="I71" s="357"/>
      <c r="K71"/>
      <c r="L71"/>
      <c r="M71"/>
      <c r="N71"/>
    </row>
    <row r="72" spans="1:14" ht="18.75" x14ac:dyDescent="0.25">
      <c r="A72" s="4">
        <f t="shared" si="2"/>
        <v>17</v>
      </c>
      <c r="B72" s="32" t="s">
        <v>1670</v>
      </c>
      <c r="E72" s="1146">
        <f>IFERROR('Stmt AV'!F143,0)</f>
        <v>9.6242072833420123E-2</v>
      </c>
      <c r="G72" s="4" t="s">
        <v>1665</v>
      </c>
      <c r="H72" s="4">
        <f t="shared" ref="H72:H94" si="4">H71+1</f>
        <v>17</v>
      </c>
      <c r="I72" s="357"/>
      <c r="J72" s="600"/>
      <c r="K72"/>
      <c r="L72"/>
      <c r="M72"/>
      <c r="N72"/>
    </row>
    <row r="73" spans="1:14" x14ac:dyDescent="0.25">
      <c r="A73" s="4">
        <f t="shared" si="2"/>
        <v>18</v>
      </c>
      <c r="B73" s="31" t="s">
        <v>1594</v>
      </c>
      <c r="E73" s="1188">
        <f>E71*E72</f>
        <v>0</v>
      </c>
      <c r="G73" s="4" t="s">
        <v>1595</v>
      </c>
      <c r="H73" s="4">
        <f t="shared" si="4"/>
        <v>18</v>
      </c>
      <c r="I73" s="357"/>
      <c r="J73" s="600"/>
      <c r="K73"/>
      <c r="L73"/>
      <c r="M73"/>
      <c r="N73"/>
    </row>
    <row r="74" spans="1:14" x14ac:dyDescent="0.25">
      <c r="A74" s="4">
        <f t="shared" si="2"/>
        <v>19</v>
      </c>
      <c r="E74" s="1172"/>
      <c r="G74" s="4"/>
      <c r="H74" s="4">
        <f t="shared" si="4"/>
        <v>19</v>
      </c>
      <c r="I74" s="357"/>
      <c r="J74" s="600"/>
      <c r="K74"/>
      <c r="L74"/>
      <c r="M74"/>
      <c r="N74"/>
    </row>
    <row r="75" spans="1:14" x14ac:dyDescent="0.25">
      <c r="A75" s="4">
        <f t="shared" si="2"/>
        <v>20</v>
      </c>
      <c r="B75" s="32" t="s">
        <v>42</v>
      </c>
      <c r="E75" s="1172">
        <f>E149</f>
        <v>0</v>
      </c>
      <c r="G75" s="4" t="s">
        <v>1898</v>
      </c>
      <c r="H75" s="4">
        <f t="shared" si="4"/>
        <v>20</v>
      </c>
      <c r="I75" s="357"/>
      <c r="J75" s="600"/>
      <c r="K75"/>
      <c r="L75"/>
      <c r="M75"/>
      <c r="N75"/>
    </row>
    <row r="76" spans="1:14" ht="18.75" x14ac:dyDescent="0.25">
      <c r="A76" s="4">
        <f t="shared" si="2"/>
        <v>21</v>
      </c>
      <c r="B76" s="32" t="s">
        <v>1581</v>
      </c>
      <c r="E76" s="1173">
        <v>0</v>
      </c>
      <c r="G76" s="4" t="s">
        <v>44</v>
      </c>
      <c r="H76" s="4">
        <f t="shared" si="4"/>
        <v>21</v>
      </c>
      <c r="I76" s="357"/>
      <c r="J76" s="600"/>
      <c r="K76"/>
      <c r="L76"/>
      <c r="M76"/>
      <c r="N76"/>
    </row>
    <row r="77" spans="1:14" x14ac:dyDescent="0.25">
      <c r="A77" s="4">
        <f t="shared" si="2"/>
        <v>22</v>
      </c>
      <c r="B77" s="31" t="s">
        <v>1596</v>
      </c>
      <c r="E77" s="1188">
        <f>E75*E76</f>
        <v>0</v>
      </c>
      <c r="G77" s="4" t="s">
        <v>1597</v>
      </c>
      <c r="H77" s="4">
        <f t="shared" si="4"/>
        <v>22</v>
      </c>
      <c r="I77" s="357"/>
      <c r="J77" s="600"/>
      <c r="K77"/>
      <c r="L77"/>
      <c r="M77"/>
      <c r="N77"/>
    </row>
    <row r="78" spans="1:14" x14ac:dyDescent="0.25">
      <c r="A78" s="4">
        <f t="shared" si="2"/>
        <v>23</v>
      </c>
      <c r="E78" s="1172"/>
      <c r="G78" s="4"/>
      <c r="H78" s="4">
        <f t="shared" si="4"/>
        <v>23</v>
      </c>
      <c r="I78" s="357"/>
      <c r="J78" s="600"/>
      <c r="K78"/>
      <c r="L78"/>
      <c r="M78"/>
      <c r="N78"/>
    </row>
    <row r="79" spans="1:14" ht="16.5" thickBot="1" x14ac:dyDescent="0.3">
      <c r="A79" s="4">
        <f t="shared" si="2"/>
        <v>24</v>
      </c>
      <c r="B79" s="31" t="s">
        <v>1994</v>
      </c>
      <c r="E79" s="24">
        <f>E69+E73+E77</f>
        <v>0</v>
      </c>
      <c r="G79" s="4" t="s">
        <v>1598</v>
      </c>
      <c r="H79" s="4">
        <f t="shared" si="4"/>
        <v>24</v>
      </c>
      <c r="I79" s="357"/>
      <c r="K79"/>
      <c r="L79"/>
      <c r="M79"/>
      <c r="N79"/>
    </row>
    <row r="80" spans="1:14" ht="16.5" thickTop="1" x14ac:dyDescent="0.25">
      <c r="A80" s="4">
        <f t="shared" si="2"/>
        <v>25</v>
      </c>
      <c r="E80" s="10"/>
      <c r="G80" s="4"/>
      <c r="H80" s="4">
        <f t="shared" si="4"/>
        <v>25</v>
      </c>
      <c r="I80" s="357"/>
      <c r="K80"/>
      <c r="L80"/>
      <c r="M80"/>
      <c r="N80"/>
    </row>
    <row r="81" spans="1:14" ht="18.75" x14ac:dyDescent="0.25">
      <c r="A81" s="4">
        <f t="shared" si="2"/>
        <v>26</v>
      </c>
      <c r="B81" s="33" t="s">
        <v>1995</v>
      </c>
      <c r="C81" s="257"/>
      <c r="D81" s="257"/>
      <c r="E81" s="15"/>
      <c r="G81" s="4"/>
      <c r="H81" s="4">
        <f t="shared" si="4"/>
        <v>26</v>
      </c>
      <c r="I81" s="357"/>
      <c r="K81"/>
      <c r="L81"/>
      <c r="M81"/>
      <c r="N81"/>
    </row>
    <row r="82" spans="1:14" x14ac:dyDescent="0.25">
      <c r="A82" s="4">
        <f t="shared" si="2"/>
        <v>27</v>
      </c>
      <c r="B82" s="31" t="s">
        <v>47</v>
      </c>
      <c r="C82" s="257"/>
      <c r="D82" s="257"/>
      <c r="E82" s="16">
        <f>E151</f>
        <v>0</v>
      </c>
      <c r="G82" s="4" t="s">
        <v>1899</v>
      </c>
      <c r="H82" s="4">
        <f t="shared" si="4"/>
        <v>27</v>
      </c>
      <c r="I82" s="357"/>
      <c r="K82"/>
      <c r="L82"/>
      <c r="M82"/>
      <c r="N82"/>
    </row>
    <row r="83" spans="1:14" ht="18.75" x14ac:dyDescent="0.25">
      <c r="A83" s="4">
        <f t="shared" si="2"/>
        <v>28</v>
      </c>
      <c r="B83" s="32" t="s">
        <v>1670</v>
      </c>
      <c r="E83" s="1146">
        <f>IFERROR('Stmt AV'!F143,0)</f>
        <v>9.6242072833420123E-2</v>
      </c>
      <c r="G83" s="4" t="s">
        <v>1665</v>
      </c>
      <c r="H83" s="4">
        <f t="shared" si="4"/>
        <v>28</v>
      </c>
      <c r="I83" s="357"/>
      <c r="K83"/>
      <c r="L83"/>
      <c r="M83"/>
      <c r="N83"/>
    </row>
    <row r="84" spans="1:14" ht="16.5" thickBot="1" x14ac:dyDescent="0.3">
      <c r="A84" s="4">
        <f t="shared" si="2"/>
        <v>29</v>
      </c>
      <c r="B84" s="31" t="s">
        <v>1599</v>
      </c>
      <c r="E84" s="1189">
        <f>E82*E83</f>
        <v>0</v>
      </c>
      <c r="G84" s="4" t="s">
        <v>1600</v>
      </c>
      <c r="H84" s="4">
        <f t="shared" si="4"/>
        <v>29</v>
      </c>
      <c r="I84" s="357"/>
      <c r="K84"/>
      <c r="L84"/>
      <c r="M84"/>
      <c r="N84"/>
    </row>
    <row r="85" spans="1:14" ht="16.5" thickTop="1" x14ac:dyDescent="0.25">
      <c r="A85" s="4">
        <f t="shared" si="2"/>
        <v>30</v>
      </c>
      <c r="E85" s="1172"/>
      <c r="G85" s="4"/>
      <c r="H85" s="4">
        <f t="shared" si="4"/>
        <v>30</v>
      </c>
      <c r="I85" s="357"/>
      <c r="K85"/>
      <c r="L85"/>
      <c r="M85"/>
      <c r="N85"/>
    </row>
    <row r="86" spans="1:14" x14ac:dyDescent="0.25">
      <c r="A86" s="4">
        <f t="shared" si="2"/>
        <v>31</v>
      </c>
      <c r="B86" s="31" t="s">
        <v>47</v>
      </c>
      <c r="E86" s="1174">
        <f>E151</f>
        <v>0</v>
      </c>
      <c r="G86" s="4" t="s">
        <v>1899</v>
      </c>
      <c r="H86" s="4">
        <f t="shared" si="4"/>
        <v>31</v>
      </c>
      <c r="I86" s="357"/>
      <c r="K86"/>
      <c r="L86"/>
      <c r="M86"/>
      <c r="N86"/>
    </row>
    <row r="87" spans="1:14" ht="18.75" x14ac:dyDescent="0.25">
      <c r="A87" s="4">
        <f t="shared" si="2"/>
        <v>32</v>
      </c>
      <c r="B87" s="32" t="s">
        <v>1581</v>
      </c>
      <c r="E87" s="1146">
        <f>IFERROR('Stmt AV'!F183,0)</f>
        <v>0</v>
      </c>
      <c r="G87" s="4" t="s">
        <v>1667</v>
      </c>
      <c r="H87" s="4">
        <f t="shared" si="4"/>
        <v>32</v>
      </c>
      <c r="I87" s="357"/>
      <c r="K87"/>
      <c r="L87"/>
      <c r="M87"/>
      <c r="N87"/>
    </row>
    <row r="88" spans="1:14" x14ac:dyDescent="0.25">
      <c r="A88" s="4">
        <f t="shared" si="2"/>
        <v>33</v>
      </c>
      <c r="B88" s="31" t="s">
        <v>1601</v>
      </c>
      <c r="E88" s="1188">
        <f>E86*E87</f>
        <v>0</v>
      </c>
      <c r="G88" s="4" t="s">
        <v>1602</v>
      </c>
      <c r="H88" s="4">
        <f t="shared" si="4"/>
        <v>33</v>
      </c>
      <c r="I88" s="357"/>
      <c r="K88"/>
      <c r="L88"/>
      <c r="M88"/>
      <c r="N88"/>
    </row>
    <row r="89" spans="1:14" x14ac:dyDescent="0.25">
      <c r="A89" s="4">
        <f t="shared" si="2"/>
        <v>34</v>
      </c>
      <c r="E89" s="1172"/>
      <c r="G89" s="4"/>
      <c r="H89" s="4">
        <f t="shared" si="4"/>
        <v>34</v>
      </c>
      <c r="I89" s="357"/>
      <c r="K89"/>
      <c r="L89"/>
      <c r="M89"/>
      <c r="N89"/>
    </row>
    <row r="90" spans="1:14" ht="16.5" thickBot="1" x14ac:dyDescent="0.3">
      <c r="A90" s="4">
        <f t="shared" si="2"/>
        <v>35</v>
      </c>
      <c r="B90" s="31" t="s">
        <v>1996</v>
      </c>
      <c r="C90" s="257"/>
      <c r="D90" s="257"/>
      <c r="E90" s="14">
        <f>E84+E88</f>
        <v>0</v>
      </c>
      <c r="G90" s="4" t="s">
        <v>1603</v>
      </c>
      <c r="H90" s="4">
        <f t="shared" si="4"/>
        <v>35</v>
      </c>
      <c r="I90" s="357"/>
      <c r="K90"/>
      <c r="L90"/>
      <c r="M90"/>
      <c r="N90"/>
    </row>
    <row r="91" spans="1:14" ht="16.5" thickTop="1" x14ac:dyDescent="0.25">
      <c r="A91" s="4">
        <f t="shared" si="2"/>
        <v>36</v>
      </c>
      <c r="E91" s="1172"/>
      <c r="G91" s="4"/>
      <c r="H91" s="4">
        <f t="shared" si="4"/>
        <v>36</v>
      </c>
      <c r="I91" s="357"/>
      <c r="K91"/>
      <c r="L91"/>
      <c r="M91"/>
      <c r="N91"/>
    </row>
    <row r="92" spans="1:14" ht="19.5" thickBot="1" x14ac:dyDescent="0.3">
      <c r="A92" s="4">
        <f t="shared" si="2"/>
        <v>37</v>
      </c>
      <c r="B92" s="31" t="s">
        <v>1997</v>
      </c>
      <c r="E92" s="14">
        <f>E66+E79+E90</f>
        <v>0</v>
      </c>
      <c r="G92" s="4" t="s">
        <v>1604</v>
      </c>
      <c r="H92" s="4">
        <f t="shared" si="4"/>
        <v>37</v>
      </c>
      <c r="I92" s="357"/>
      <c r="K92"/>
      <c r="L92"/>
      <c r="M92"/>
      <c r="N92"/>
    </row>
    <row r="93" spans="1:14" ht="16.5" thickTop="1" x14ac:dyDescent="0.25">
      <c r="A93" s="4">
        <f t="shared" si="2"/>
        <v>38</v>
      </c>
      <c r="C93" s="257"/>
      <c r="D93" s="257"/>
      <c r="E93" s="15"/>
      <c r="G93" s="4"/>
      <c r="H93" s="4">
        <f t="shared" si="4"/>
        <v>38</v>
      </c>
      <c r="I93" s="357"/>
      <c r="K93"/>
      <c r="L93"/>
      <c r="M93"/>
      <c r="N93"/>
    </row>
    <row r="94" spans="1:14" ht="19.5" thickBot="1" x14ac:dyDescent="0.3">
      <c r="A94" s="4">
        <f t="shared" si="2"/>
        <v>39</v>
      </c>
      <c r="B94" s="33" t="s">
        <v>1643</v>
      </c>
      <c r="C94" s="257"/>
      <c r="D94" s="257"/>
      <c r="E94" s="14">
        <f>+E41+E92</f>
        <v>1134066.8329660275</v>
      </c>
      <c r="F94" s="1"/>
      <c r="G94" s="4" t="s">
        <v>1900</v>
      </c>
      <c r="H94" s="4">
        <f t="shared" si="4"/>
        <v>39</v>
      </c>
      <c r="I94" s="357"/>
      <c r="K94"/>
      <c r="L94"/>
      <c r="M94"/>
      <c r="N94"/>
    </row>
    <row r="95" spans="1:14" ht="16.5" thickTop="1" x14ac:dyDescent="0.25">
      <c r="A95" s="4"/>
      <c r="B95" s="33"/>
      <c r="C95" s="257"/>
      <c r="D95" s="257"/>
      <c r="E95" s="15"/>
      <c r="F95" s="1"/>
      <c r="G95" s="4"/>
      <c r="K95"/>
      <c r="L95"/>
      <c r="M95"/>
      <c r="N95"/>
    </row>
    <row r="96" spans="1:14" x14ac:dyDescent="0.25">
      <c r="A96" s="4"/>
      <c r="B96" s="33"/>
      <c r="C96" s="257"/>
      <c r="D96" s="257"/>
      <c r="E96" s="15"/>
      <c r="F96" s="1"/>
      <c r="G96" s="4"/>
      <c r="K96"/>
      <c r="L96"/>
      <c r="M96"/>
      <c r="N96"/>
    </row>
    <row r="97" spans="1:14" ht="18.75" x14ac:dyDescent="0.25">
      <c r="A97" s="252">
        <v>1</v>
      </c>
      <c r="B97" s="31" t="s">
        <v>33</v>
      </c>
      <c r="C97" s="257"/>
      <c r="D97" s="257"/>
      <c r="E97" s="15"/>
      <c r="G97" s="4"/>
      <c r="K97"/>
      <c r="L97"/>
      <c r="M97"/>
      <c r="N97"/>
    </row>
    <row r="98" spans="1:14" ht="18.75" x14ac:dyDescent="0.25">
      <c r="A98" s="252">
        <v>2</v>
      </c>
      <c r="B98" s="31" t="s">
        <v>52</v>
      </c>
      <c r="C98" s="257"/>
      <c r="D98" s="257"/>
      <c r="E98" s="19"/>
      <c r="F98" s="71"/>
      <c r="G98" s="4"/>
      <c r="K98"/>
      <c r="L98"/>
      <c r="M98"/>
      <c r="N98"/>
    </row>
    <row r="99" spans="1:14" ht="18.75" x14ac:dyDescent="0.25">
      <c r="A99" s="252">
        <v>3</v>
      </c>
      <c r="B99" s="31" t="s">
        <v>1998</v>
      </c>
      <c r="C99" s="257"/>
      <c r="D99" s="257"/>
      <c r="E99" s="19"/>
      <c r="F99" s="71"/>
      <c r="G99" s="4"/>
      <c r="K99"/>
      <c r="L99"/>
      <c r="M99"/>
      <c r="N99"/>
    </row>
    <row r="100" spans="1:14" ht="18.75" x14ac:dyDescent="0.25">
      <c r="A100" s="252">
        <v>4</v>
      </c>
      <c r="B100" s="31" t="s">
        <v>1999</v>
      </c>
      <c r="C100" s="257"/>
      <c r="D100" s="257"/>
      <c r="E100" s="15"/>
      <c r="G100" s="4"/>
      <c r="K100"/>
      <c r="L100"/>
      <c r="M100"/>
      <c r="N100"/>
    </row>
    <row r="101" spans="1:14" x14ac:dyDescent="0.25">
      <c r="C101" s="257"/>
      <c r="D101" s="257"/>
      <c r="E101" s="15"/>
      <c r="G101" s="4"/>
      <c r="K101"/>
      <c r="L101"/>
      <c r="M101"/>
      <c r="N101"/>
    </row>
    <row r="102" spans="1:14" x14ac:dyDescent="0.25">
      <c r="A102" s="4"/>
      <c r="C102" s="257"/>
      <c r="D102" s="257"/>
      <c r="E102" s="15"/>
      <c r="G102" s="4"/>
      <c r="K102"/>
      <c r="L102"/>
      <c r="M102"/>
      <c r="N102"/>
    </row>
    <row r="103" spans="1:14" x14ac:dyDescent="0.25">
      <c r="A103" s="4"/>
      <c r="B103" s="1316" t="s">
        <v>0</v>
      </c>
      <c r="C103" s="1313"/>
      <c r="D103" s="1313"/>
      <c r="E103" s="1313"/>
      <c r="F103" s="1313"/>
      <c r="G103" s="1313"/>
      <c r="K103"/>
      <c r="L103"/>
      <c r="M103"/>
      <c r="N103"/>
    </row>
    <row r="104" spans="1:14" x14ac:dyDescent="0.25">
      <c r="A104" s="4"/>
      <c r="B104" s="1316" t="s">
        <v>2</v>
      </c>
      <c r="C104" s="1313"/>
      <c r="D104" s="1313"/>
      <c r="E104" s="1313"/>
      <c r="F104" s="1313"/>
      <c r="G104" s="1313"/>
      <c r="K104"/>
      <c r="L104"/>
      <c r="M104"/>
      <c r="N104"/>
    </row>
    <row r="105" spans="1:14" ht="17.25" x14ac:dyDescent="0.25">
      <c r="A105" s="4" t="s">
        <v>1</v>
      </c>
      <c r="B105" s="1316" t="s">
        <v>1988</v>
      </c>
      <c r="C105" s="1317"/>
      <c r="D105" s="1317"/>
      <c r="E105" s="1317"/>
      <c r="F105" s="1317"/>
      <c r="G105" s="1317"/>
      <c r="H105" s="4" t="s">
        <v>1</v>
      </c>
      <c r="K105"/>
      <c r="L105"/>
      <c r="M105"/>
      <c r="N105"/>
    </row>
    <row r="106" spans="1:14" x14ac:dyDescent="0.25">
      <c r="A106" s="4"/>
      <c r="B106" s="1318" t="str">
        <f>B5</f>
        <v>For the Base Period &amp; True-Up Period Ending December 31, 2025</v>
      </c>
      <c r="C106" s="1319"/>
      <c r="D106" s="1319"/>
      <c r="E106" s="1319"/>
      <c r="F106" s="1319"/>
      <c r="G106" s="1319"/>
      <c r="K106"/>
      <c r="L106"/>
      <c r="M106"/>
      <c r="N106"/>
    </row>
    <row r="107" spans="1:14" x14ac:dyDescent="0.25">
      <c r="A107" s="4"/>
      <c r="B107" s="1312" t="s">
        <v>4</v>
      </c>
      <c r="C107" s="1313"/>
      <c r="D107" s="1313"/>
      <c r="E107" s="1313"/>
      <c r="F107" s="1313"/>
      <c r="G107" s="1313"/>
      <c r="K107"/>
      <c r="L107"/>
      <c r="M107"/>
      <c r="N107"/>
    </row>
    <row r="108" spans="1:14" x14ac:dyDescent="0.25">
      <c r="A108" s="4"/>
      <c r="B108" s="261"/>
      <c r="C108" s="1"/>
      <c r="D108" s="1"/>
      <c r="E108" s="1"/>
      <c r="F108" s="1"/>
      <c r="G108" s="1"/>
      <c r="K108"/>
      <c r="L108"/>
      <c r="M108"/>
      <c r="N108"/>
    </row>
    <row r="109" spans="1:14" x14ac:dyDescent="0.25">
      <c r="A109" s="4" t="s">
        <v>5</v>
      </c>
      <c r="E109" s="25"/>
      <c r="G109" s="4"/>
      <c r="H109" s="4" t="s">
        <v>5</v>
      </c>
      <c r="K109"/>
      <c r="L109"/>
      <c r="M109"/>
      <c r="N109"/>
    </row>
    <row r="110" spans="1:14" x14ac:dyDescent="0.25">
      <c r="A110" s="4" t="s">
        <v>6</v>
      </c>
      <c r="B110" s="1" t="s">
        <v>1</v>
      </c>
      <c r="E110" s="907" t="s">
        <v>7</v>
      </c>
      <c r="G110" s="848" t="s">
        <v>8</v>
      </c>
      <c r="H110" s="4" t="s">
        <v>6</v>
      </c>
      <c r="K110"/>
      <c r="L110"/>
      <c r="M110"/>
      <c r="N110"/>
    </row>
    <row r="111" spans="1:14" x14ac:dyDescent="0.25">
      <c r="A111" s="4"/>
      <c r="B111" s="247" t="s">
        <v>54</v>
      </c>
      <c r="C111" s="259"/>
      <c r="D111" s="259"/>
      <c r="E111" s="259"/>
      <c r="G111" s="4"/>
      <c r="K111"/>
      <c r="L111"/>
      <c r="M111"/>
      <c r="N111"/>
    </row>
    <row r="112" spans="1:14" x14ac:dyDescent="0.25">
      <c r="A112" s="4">
        <v>1</v>
      </c>
      <c r="B112" s="249" t="s">
        <v>55</v>
      </c>
      <c r="C112" s="259"/>
      <c r="D112" s="259"/>
      <c r="E112" s="259"/>
      <c r="G112" s="4"/>
      <c r="H112" s="4">
        <f>A112</f>
        <v>1</v>
      </c>
      <c r="K112"/>
      <c r="L112"/>
      <c r="M112"/>
      <c r="N112"/>
    </row>
    <row r="113" spans="1:14" x14ac:dyDescent="0.25">
      <c r="A113" s="4">
        <f t="shared" ref="A113:A151" si="5">A112+1</f>
        <v>2</v>
      </c>
      <c r="B113" s="32" t="s">
        <v>56</v>
      </c>
      <c r="C113" s="259"/>
      <c r="D113" s="259"/>
      <c r="E113" s="20">
        <f>E182</f>
        <v>6501749.9737683125</v>
      </c>
      <c r="F113" s="71"/>
      <c r="G113" s="4" t="s">
        <v>57</v>
      </c>
      <c r="H113" s="4">
        <f t="shared" ref="H113:H136" si="6">H112+1</f>
        <v>2</v>
      </c>
      <c r="K113"/>
      <c r="L113"/>
      <c r="M113"/>
      <c r="N113"/>
    </row>
    <row r="114" spans="1:14" x14ac:dyDescent="0.25">
      <c r="A114" s="4">
        <f t="shared" si="5"/>
        <v>3</v>
      </c>
      <c r="B114" s="32" t="s">
        <v>58</v>
      </c>
      <c r="C114" s="259"/>
      <c r="D114" s="259"/>
      <c r="E114" s="21">
        <f>E183</f>
        <v>0</v>
      </c>
      <c r="F114" s="71"/>
      <c r="G114" s="4" t="s">
        <v>59</v>
      </c>
      <c r="H114" s="4">
        <f t="shared" si="6"/>
        <v>3</v>
      </c>
      <c r="K114"/>
      <c r="L114"/>
      <c r="M114"/>
      <c r="N114"/>
    </row>
    <row r="115" spans="1:14" x14ac:dyDescent="0.25">
      <c r="A115" s="4">
        <f t="shared" si="5"/>
        <v>4</v>
      </c>
      <c r="B115" s="32" t="s">
        <v>60</v>
      </c>
      <c r="C115" s="259"/>
      <c r="D115" s="259"/>
      <c r="E115" s="21">
        <f>E184</f>
        <v>27492.603387624411</v>
      </c>
      <c r="G115" s="4" t="s">
        <v>61</v>
      </c>
      <c r="H115" s="4">
        <f t="shared" si="6"/>
        <v>4</v>
      </c>
      <c r="K115"/>
      <c r="L115"/>
      <c r="M115"/>
      <c r="N115"/>
    </row>
    <row r="116" spans="1:14" x14ac:dyDescent="0.25">
      <c r="A116" s="4">
        <f t="shared" si="5"/>
        <v>5</v>
      </c>
      <c r="B116" s="32" t="s">
        <v>62</v>
      </c>
      <c r="C116" s="259"/>
      <c r="D116" s="259"/>
      <c r="E116" s="909">
        <f>E185</f>
        <v>218929.31091609754</v>
      </c>
      <c r="G116" s="4" t="s">
        <v>63</v>
      </c>
      <c r="H116" s="4">
        <f t="shared" si="6"/>
        <v>5</v>
      </c>
      <c r="K116"/>
      <c r="L116"/>
      <c r="M116"/>
      <c r="N116"/>
    </row>
    <row r="117" spans="1:14" x14ac:dyDescent="0.25">
      <c r="A117" s="4">
        <f t="shared" si="5"/>
        <v>6</v>
      </c>
      <c r="B117" s="32" t="s">
        <v>64</v>
      </c>
      <c r="C117" s="4"/>
      <c r="D117" s="4"/>
      <c r="E117" s="910">
        <f>SUM(E113:E116)</f>
        <v>6748171.8880720343</v>
      </c>
      <c r="F117" s="71"/>
      <c r="G117" s="4" t="s">
        <v>65</v>
      </c>
      <c r="H117" s="4">
        <f t="shared" si="6"/>
        <v>6</v>
      </c>
      <c r="K117"/>
      <c r="L117"/>
      <c r="M117"/>
      <c r="N117"/>
    </row>
    <row r="118" spans="1:14" x14ac:dyDescent="0.25">
      <c r="A118" s="4">
        <f t="shared" si="5"/>
        <v>7</v>
      </c>
      <c r="C118" s="4"/>
      <c r="D118" s="4"/>
      <c r="E118" s="11"/>
      <c r="G118" s="4"/>
      <c r="H118" s="4">
        <f t="shared" si="6"/>
        <v>7</v>
      </c>
      <c r="K118"/>
      <c r="L118"/>
      <c r="M118"/>
      <c r="N118"/>
    </row>
    <row r="119" spans="1:14" x14ac:dyDescent="0.25">
      <c r="A119" s="4">
        <f t="shared" si="5"/>
        <v>8</v>
      </c>
      <c r="B119" s="249" t="s">
        <v>66</v>
      </c>
      <c r="C119" s="4"/>
      <c r="D119" s="4"/>
      <c r="E119" s="11"/>
      <c r="G119" s="4"/>
      <c r="H119" s="4">
        <f t="shared" si="6"/>
        <v>8</v>
      </c>
      <c r="K119"/>
      <c r="L119"/>
      <c r="M119"/>
      <c r="N119"/>
    </row>
    <row r="120" spans="1:14" x14ac:dyDescent="0.25">
      <c r="A120" s="4">
        <f t="shared" si="5"/>
        <v>9</v>
      </c>
      <c r="B120" s="32" t="s">
        <v>67</v>
      </c>
      <c r="C120" s="4"/>
      <c r="D120" s="4"/>
      <c r="E120" s="22">
        <f>'Stmt AG'!E11</f>
        <v>2549.5695384615387</v>
      </c>
      <c r="F120" s="71"/>
      <c r="G120" s="4" t="s">
        <v>68</v>
      </c>
      <c r="H120" s="4">
        <f t="shared" si="6"/>
        <v>9</v>
      </c>
      <c r="K120"/>
      <c r="L120"/>
      <c r="M120"/>
      <c r="N120"/>
    </row>
    <row r="121" spans="1:14" x14ac:dyDescent="0.25">
      <c r="A121" s="4">
        <f t="shared" si="5"/>
        <v>10</v>
      </c>
      <c r="B121" s="32" t="s">
        <v>69</v>
      </c>
      <c r="C121" s="4"/>
      <c r="D121" s="4"/>
      <c r="E121" s="1178">
        <f>'Stmt Misc.'!E12</f>
        <v>0</v>
      </c>
      <c r="G121" s="4" t="s">
        <v>70</v>
      </c>
      <c r="H121" s="4">
        <f t="shared" si="6"/>
        <v>10</v>
      </c>
      <c r="K121"/>
      <c r="L121"/>
      <c r="M121"/>
      <c r="N121"/>
    </row>
    <row r="122" spans="1:14" x14ac:dyDescent="0.25">
      <c r="A122" s="4">
        <f t="shared" si="5"/>
        <v>11</v>
      </c>
      <c r="B122" s="32" t="s">
        <v>71</v>
      </c>
      <c r="C122" s="4"/>
      <c r="D122" s="4"/>
      <c r="E122" s="1049">
        <f>SUM(E120:E121)</f>
        <v>2549.5695384615387</v>
      </c>
      <c r="F122" s="71"/>
      <c r="G122" s="4" t="s">
        <v>72</v>
      </c>
      <c r="H122" s="4">
        <f t="shared" si="6"/>
        <v>11</v>
      </c>
      <c r="K122"/>
      <c r="L122"/>
      <c r="M122"/>
      <c r="N122"/>
    </row>
    <row r="123" spans="1:14" x14ac:dyDescent="0.25">
      <c r="A123" s="4">
        <f t="shared" si="5"/>
        <v>12</v>
      </c>
      <c r="B123" s="32"/>
      <c r="C123" s="4"/>
      <c r="D123" s="4"/>
      <c r="E123" s="15"/>
      <c r="G123" s="4"/>
      <c r="H123" s="4">
        <f t="shared" si="6"/>
        <v>12</v>
      </c>
      <c r="K123"/>
      <c r="L123"/>
      <c r="M123"/>
      <c r="N123"/>
    </row>
    <row r="124" spans="1:14" x14ac:dyDescent="0.25">
      <c r="A124" s="4">
        <f t="shared" si="5"/>
        <v>13</v>
      </c>
      <c r="B124" s="249" t="s">
        <v>73</v>
      </c>
      <c r="E124" s="11"/>
      <c r="G124" s="4"/>
      <c r="H124" s="4">
        <f t="shared" si="6"/>
        <v>13</v>
      </c>
      <c r="K124"/>
      <c r="L124"/>
      <c r="M124"/>
      <c r="N124"/>
    </row>
    <row r="125" spans="1:14" ht="18.75" x14ac:dyDescent="0.25">
      <c r="A125" s="4">
        <f t="shared" si="5"/>
        <v>14</v>
      </c>
      <c r="B125" s="31" t="s">
        <v>74</v>
      </c>
      <c r="C125" s="4"/>
      <c r="D125" s="4"/>
      <c r="E125" s="7">
        <f>'Stmt AF'!I17</f>
        <v>-1164763.485273672</v>
      </c>
      <c r="G125" s="4" t="s">
        <v>75</v>
      </c>
      <c r="H125" s="4">
        <f t="shared" si="6"/>
        <v>14</v>
      </c>
      <c r="J125" s="868"/>
      <c r="K125"/>
      <c r="L125"/>
      <c r="M125"/>
      <c r="N125"/>
    </row>
    <row r="126" spans="1:14" x14ac:dyDescent="0.25">
      <c r="A126" s="4">
        <f t="shared" si="5"/>
        <v>15</v>
      </c>
      <c r="B126" s="31" t="s">
        <v>76</v>
      </c>
      <c r="C126" s="4"/>
      <c r="D126" s="4"/>
      <c r="E126" s="841">
        <f>'Stmt AF'!I21</f>
        <v>0</v>
      </c>
      <c r="G126" s="4" t="s">
        <v>77</v>
      </c>
      <c r="H126" s="4">
        <f t="shared" si="6"/>
        <v>15</v>
      </c>
      <c r="K126"/>
      <c r="L126"/>
      <c r="M126"/>
      <c r="N126"/>
    </row>
    <row r="127" spans="1:14" x14ac:dyDescent="0.25">
      <c r="A127" s="4">
        <f t="shared" si="5"/>
        <v>16</v>
      </c>
      <c r="B127" s="32" t="s">
        <v>78</v>
      </c>
      <c r="C127" s="4"/>
      <c r="D127" s="4"/>
      <c r="E127" s="910">
        <f>SUM(E125:E126)</f>
        <v>-1164763.485273672</v>
      </c>
      <c r="G127" s="4" t="s">
        <v>79</v>
      </c>
      <c r="H127" s="4">
        <f t="shared" si="6"/>
        <v>16</v>
      </c>
      <c r="K127"/>
      <c r="L127"/>
      <c r="M127"/>
      <c r="N127"/>
    </row>
    <row r="128" spans="1:14" x14ac:dyDescent="0.25">
      <c r="A128" s="4">
        <f t="shared" si="5"/>
        <v>17</v>
      </c>
      <c r="C128" s="4"/>
      <c r="D128" s="4"/>
      <c r="E128" s="8"/>
      <c r="G128" s="4"/>
      <c r="H128" s="4">
        <f t="shared" si="6"/>
        <v>17</v>
      </c>
      <c r="K128"/>
      <c r="L128"/>
      <c r="M128"/>
      <c r="N128"/>
    </row>
    <row r="129" spans="1:14" x14ac:dyDescent="0.25">
      <c r="A129" s="4">
        <f t="shared" si="5"/>
        <v>18</v>
      </c>
      <c r="B129" s="249" t="s">
        <v>80</v>
      </c>
      <c r="C129" s="4"/>
      <c r="D129" s="4"/>
      <c r="E129" s="8"/>
      <c r="G129" s="4"/>
      <c r="H129" s="4">
        <f t="shared" si="6"/>
        <v>18</v>
      </c>
      <c r="K129"/>
      <c r="L129"/>
      <c r="M129"/>
      <c r="N129"/>
    </row>
    <row r="130" spans="1:14" x14ac:dyDescent="0.25">
      <c r="A130" s="4">
        <f t="shared" si="5"/>
        <v>19</v>
      </c>
      <c r="B130" s="32" t="s">
        <v>81</v>
      </c>
      <c r="C130" s="4"/>
      <c r="D130" s="4"/>
      <c r="E130" s="20">
        <f>'Stmt AL'!G15</f>
        <v>58837.923470927381</v>
      </c>
      <c r="F130" s="71"/>
      <c r="G130" s="4" t="s">
        <v>82</v>
      </c>
      <c r="H130" s="4">
        <f t="shared" si="6"/>
        <v>19</v>
      </c>
      <c r="K130"/>
      <c r="L130"/>
      <c r="M130"/>
      <c r="N130"/>
    </row>
    <row r="131" spans="1:14" x14ac:dyDescent="0.25">
      <c r="A131" s="4">
        <f t="shared" si="5"/>
        <v>20</v>
      </c>
      <c r="B131" s="32" t="s">
        <v>83</v>
      </c>
      <c r="C131" s="4"/>
      <c r="D131" s="4"/>
      <c r="E131" s="21">
        <f>'Stmt AL'!G21</f>
        <v>18487.553538858367</v>
      </c>
      <c r="F131" s="71"/>
      <c r="G131" s="4" t="s">
        <v>1859</v>
      </c>
      <c r="H131" s="4">
        <f t="shared" si="6"/>
        <v>20</v>
      </c>
      <c r="K131"/>
      <c r="L131"/>
      <c r="M131"/>
      <c r="N131"/>
    </row>
    <row r="132" spans="1:14" x14ac:dyDescent="0.25">
      <c r="A132" s="4">
        <f t="shared" si="5"/>
        <v>21</v>
      </c>
      <c r="B132" s="32" t="s">
        <v>84</v>
      </c>
      <c r="C132" s="4"/>
      <c r="D132" s="4"/>
      <c r="E132" s="909">
        <v>0</v>
      </c>
      <c r="F132" s="1"/>
      <c r="G132" s="4" t="s">
        <v>1901</v>
      </c>
      <c r="H132" s="4">
        <f t="shared" si="6"/>
        <v>21</v>
      </c>
      <c r="K132"/>
      <c r="L132"/>
      <c r="M132"/>
      <c r="N132"/>
    </row>
    <row r="133" spans="1:14" x14ac:dyDescent="0.25">
      <c r="A133" s="4">
        <f t="shared" si="5"/>
        <v>22</v>
      </c>
      <c r="B133" s="32" t="s">
        <v>85</v>
      </c>
      <c r="E133" s="910">
        <f>SUM(E130:E132)</f>
        <v>77325.47700978574</v>
      </c>
      <c r="F133" s="1"/>
      <c r="G133" s="4" t="s">
        <v>86</v>
      </c>
      <c r="H133" s="4">
        <f t="shared" si="6"/>
        <v>22</v>
      </c>
      <c r="K133"/>
      <c r="L133"/>
      <c r="M133"/>
      <c r="N133"/>
    </row>
    <row r="134" spans="1:14" x14ac:dyDescent="0.25">
      <c r="A134" s="4">
        <f t="shared" si="5"/>
        <v>23</v>
      </c>
      <c r="B134" s="32"/>
      <c r="E134" s="11"/>
      <c r="G134" s="4"/>
      <c r="H134" s="4">
        <f t="shared" si="6"/>
        <v>23</v>
      </c>
      <c r="K134"/>
      <c r="L134"/>
      <c r="M134"/>
      <c r="N134"/>
    </row>
    <row r="135" spans="1:14" x14ac:dyDescent="0.25">
      <c r="A135" s="4">
        <f t="shared" si="5"/>
        <v>24</v>
      </c>
      <c r="B135" s="32" t="s">
        <v>87</v>
      </c>
      <c r="E135" s="22">
        <f>'Stmt Misc.'!E14</f>
        <v>0</v>
      </c>
      <c r="G135" s="4" t="s">
        <v>88</v>
      </c>
      <c r="H135" s="4">
        <f t="shared" si="6"/>
        <v>24</v>
      </c>
      <c r="K135"/>
      <c r="L135"/>
      <c r="M135"/>
      <c r="N135"/>
    </row>
    <row r="136" spans="1:14" x14ac:dyDescent="0.25">
      <c r="A136" s="4">
        <f t="shared" si="5"/>
        <v>25</v>
      </c>
      <c r="B136" s="32" t="s">
        <v>89</v>
      </c>
      <c r="E136" s="1201">
        <f>'Stmt Misc.'!E16</f>
        <v>-11663.000464325965</v>
      </c>
      <c r="G136" s="4" t="s">
        <v>90</v>
      </c>
      <c r="H136" s="4">
        <f t="shared" si="6"/>
        <v>25</v>
      </c>
      <c r="K136"/>
      <c r="L136"/>
      <c r="M136"/>
      <c r="N136"/>
    </row>
    <row r="137" spans="1:14" x14ac:dyDescent="0.25">
      <c r="A137" s="4">
        <f t="shared" si="5"/>
        <v>26</v>
      </c>
      <c r="B137" s="31" t="s">
        <v>1794</v>
      </c>
      <c r="C137" s="254"/>
      <c r="D137" s="254"/>
      <c r="E137" s="1218">
        <f>'Stmt Misc.'!E20</f>
        <v>0</v>
      </c>
      <c r="F137" s="254"/>
      <c r="G137" s="4" t="s">
        <v>1793</v>
      </c>
      <c r="H137" s="4">
        <f t="shared" ref="H137" si="7">H136+1</f>
        <v>26</v>
      </c>
      <c r="I137" s="357"/>
      <c r="J137" s="254"/>
      <c r="K137"/>
      <c r="L137"/>
      <c r="M137"/>
      <c r="N137"/>
    </row>
    <row r="138" spans="1:14" x14ac:dyDescent="0.25">
      <c r="A138" s="4">
        <f t="shared" si="5"/>
        <v>27</v>
      </c>
      <c r="B138" s="32"/>
      <c r="E138" s="11"/>
      <c r="G138" s="4"/>
      <c r="H138" s="4">
        <f t="shared" ref="H138" si="8">H137+1</f>
        <v>27</v>
      </c>
      <c r="I138" s="357"/>
      <c r="K138"/>
      <c r="L138"/>
      <c r="M138"/>
      <c r="N138"/>
    </row>
    <row r="139" spans="1:14" ht="16.5" thickBot="1" x14ac:dyDescent="0.3">
      <c r="A139" s="4">
        <f t="shared" si="5"/>
        <v>28</v>
      </c>
      <c r="B139" s="32" t="s">
        <v>91</v>
      </c>
      <c r="C139" s="276"/>
      <c r="D139" s="276"/>
      <c r="E139" s="24">
        <f>E135+E133+E127+E122+E117+E136+E137</f>
        <v>5651620.4488822836</v>
      </c>
      <c r="F139" s="276"/>
      <c r="G139" s="4" t="s">
        <v>1846</v>
      </c>
      <c r="H139" s="4">
        <f t="shared" ref="H139" si="9">H138+1</f>
        <v>28</v>
      </c>
      <c r="I139" s="357"/>
      <c r="J139" s="35"/>
      <c r="K139"/>
      <c r="L139"/>
      <c r="M139"/>
      <c r="N139"/>
    </row>
    <row r="140" spans="1:14" ht="16.5" thickTop="1" x14ac:dyDescent="0.25">
      <c r="A140" s="4">
        <f t="shared" si="5"/>
        <v>29</v>
      </c>
      <c r="B140" s="32"/>
      <c r="E140" s="10"/>
      <c r="G140" s="4"/>
      <c r="H140" s="4">
        <f t="shared" ref="H140" si="10">H139+1</f>
        <v>29</v>
      </c>
      <c r="I140" s="357"/>
      <c r="K140"/>
      <c r="L140"/>
      <c r="M140"/>
      <c r="N140"/>
    </row>
    <row r="141" spans="1:14" ht="18.75" x14ac:dyDescent="0.25">
      <c r="A141" s="4">
        <f t="shared" si="5"/>
        <v>30</v>
      </c>
      <c r="B141" s="247" t="s">
        <v>93</v>
      </c>
      <c r="E141" s="10"/>
      <c r="G141" s="4"/>
      <c r="H141" s="4">
        <f t="shared" ref="H141" si="11">H140+1</f>
        <v>30</v>
      </c>
      <c r="I141" s="357"/>
      <c r="K141"/>
      <c r="L141"/>
      <c r="M141"/>
      <c r="N141"/>
    </row>
    <row r="142" spans="1:14" x14ac:dyDescent="0.25">
      <c r="A142" s="4">
        <f t="shared" si="5"/>
        <v>31</v>
      </c>
      <c r="B142" s="32" t="s">
        <v>94</v>
      </c>
      <c r="E142" s="7">
        <f>E191</f>
        <v>0</v>
      </c>
      <c r="G142" s="4" t="s">
        <v>95</v>
      </c>
      <c r="H142" s="4">
        <f t="shared" ref="H142" si="12">H141+1</f>
        <v>31</v>
      </c>
      <c r="I142" s="357"/>
      <c r="K142"/>
      <c r="L142"/>
      <c r="M142"/>
      <c r="N142"/>
    </row>
    <row r="143" spans="1:14" x14ac:dyDescent="0.25">
      <c r="A143" s="4">
        <f t="shared" si="5"/>
        <v>32</v>
      </c>
      <c r="B143" s="32" t="s">
        <v>96</v>
      </c>
      <c r="E143" s="9">
        <f>'Stmt AF'!I19</f>
        <v>0</v>
      </c>
      <c r="G143" s="4" t="s">
        <v>97</v>
      </c>
      <c r="H143" s="4">
        <f t="shared" ref="H143" si="13">H142+1</f>
        <v>32</v>
      </c>
      <c r="I143" s="357"/>
      <c r="K143"/>
      <c r="L143"/>
      <c r="M143"/>
      <c r="N143"/>
    </row>
    <row r="144" spans="1:14" ht="16.5" thickBot="1" x14ac:dyDescent="0.3">
      <c r="A144" s="4">
        <f t="shared" si="5"/>
        <v>33</v>
      </c>
      <c r="B144" s="31" t="s">
        <v>98</v>
      </c>
      <c r="E144" s="17">
        <f>SUM(E142:E143)</f>
        <v>0</v>
      </c>
      <c r="G144" s="4" t="s">
        <v>1903</v>
      </c>
      <c r="H144" s="4">
        <f t="shared" ref="H144" si="14">H143+1</f>
        <v>33</v>
      </c>
      <c r="I144" s="357"/>
      <c r="K144"/>
      <c r="L144"/>
      <c r="M144"/>
      <c r="N144"/>
    </row>
    <row r="145" spans="1:14" ht="16.5" thickTop="1" x14ac:dyDescent="0.25">
      <c r="A145" s="4">
        <f t="shared" si="5"/>
        <v>34</v>
      </c>
      <c r="B145" s="32"/>
      <c r="E145" s="10"/>
      <c r="G145" s="4"/>
      <c r="H145" s="4">
        <f t="shared" ref="H145" si="15">H144+1</f>
        <v>34</v>
      </c>
      <c r="I145" s="357"/>
      <c r="K145"/>
      <c r="L145"/>
      <c r="M145"/>
      <c r="N145"/>
    </row>
    <row r="146" spans="1:14" ht="18.75" x14ac:dyDescent="0.25">
      <c r="A146" s="4">
        <f t="shared" si="5"/>
        <v>35</v>
      </c>
      <c r="B146" s="247" t="s">
        <v>100</v>
      </c>
      <c r="E146" s="10"/>
      <c r="G146" s="4"/>
      <c r="H146" s="4">
        <f t="shared" ref="H146" si="16">H145+1</f>
        <v>35</v>
      </c>
      <c r="I146" s="357"/>
      <c r="K146"/>
      <c r="L146"/>
      <c r="M146"/>
      <c r="N146"/>
    </row>
    <row r="147" spans="1:14" x14ac:dyDescent="0.25">
      <c r="A147" s="4">
        <f t="shared" si="5"/>
        <v>36</v>
      </c>
      <c r="B147" s="32" t="s">
        <v>101</v>
      </c>
      <c r="E147" s="7">
        <f>'Stmt Misc.'!E18</f>
        <v>0</v>
      </c>
      <c r="G147" s="4" t="s">
        <v>102</v>
      </c>
      <c r="H147" s="4">
        <f t="shared" ref="H147" si="17">H146+1</f>
        <v>36</v>
      </c>
      <c r="I147" s="357"/>
      <c r="K147"/>
      <c r="L147"/>
      <c r="M147"/>
      <c r="N147"/>
    </row>
    <row r="148" spans="1:14" x14ac:dyDescent="0.25">
      <c r="A148" s="4">
        <f t="shared" si="5"/>
        <v>37</v>
      </c>
      <c r="B148" s="31" t="s">
        <v>103</v>
      </c>
      <c r="E148" s="841">
        <f>'Stmt AF'!I23</f>
        <v>0</v>
      </c>
      <c r="G148" s="4" t="s">
        <v>104</v>
      </c>
      <c r="H148" s="4">
        <f t="shared" ref="H148" si="18">H147+1</f>
        <v>37</v>
      </c>
      <c r="I148" s="357"/>
      <c r="K148"/>
      <c r="L148"/>
      <c r="M148"/>
      <c r="N148"/>
    </row>
    <row r="149" spans="1:14" ht="16.5" thickBot="1" x14ac:dyDescent="0.3">
      <c r="A149" s="4">
        <f t="shared" si="5"/>
        <v>38</v>
      </c>
      <c r="B149" s="31" t="s">
        <v>105</v>
      </c>
      <c r="E149" s="17">
        <f>SUM(E147:E148)</f>
        <v>0</v>
      </c>
      <c r="G149" s="4" t="s">
        <v>1902</v>
      </c>
      <c r="H149" s="4">
        <f t="shared" ref="H149" si="19">H148+1</f>
        <v>38</v>
      </c>
      <c r="I149" s="357"/>
      <c r="K149"/>
      <c r="L149"/>
      <c r="M149"/>
      <c r="N149"/>
    </row>
    <row r="150" spans="1:14" ht="16.5" thickTop="1" x14ac:dyDescent="0.25">
      <c r="A150" s="4">
        <f t="shared" si="5"/>
        <v>39</v>
      </c>
      <c r="B150" s="32"/>
      <c r="E150" s="10"/>
      <c r="G150" s="4"/>
      <c r="H150" s="4">
        <f t="shared" ref="H150" si="20">H149+1</f>
        <v>39</v>
      </c>
      <c r="I150" s="357"/>
      <c r="K150"/>
      <c r="L150"/>
      <c r="M150"/>
      <c r="N150"/>
    </row>
    <row r="151" spans="1:14" ht="19.5" thickBot="1" x14ac:dyDescent="0.3">
      <c r="A151" s="4">
        <f t="shared" si="5"/>
        <v>40</v>
      </c>
      <c r="B151" s="247" t="s">
        <v>107</v>
      </c>
      <c r="E151" s="1148">
        <f>'Stmt AM'!E11</f>
        <v>0</v>
      </c>
      <c r="G151" s="4" t="s">
        <v>108</v>
      </c>
      <c r="H151" s="4">
        <f t="shared" ref="H151" si="21">H150+1</f>
        <v>40</v>
      </c>
      <c r="I151" s="357"/>
      <c r="K151"/>
      <c r="L151"/>
      <c r="M151"/>
      <c r="N151"/>
    </row>
    <row r="152" spans="1:14" ht="16.5" thickTop="1" x14ac:dyDescent="0.25">
      <c r="A152" s="4"/>
      <c r="B152" s="32"/>
      <c r="E152" s="10"/>
      <c r="G152" s="4"/>
      <c r="K152"/>
      <c r="L152"/>
      <c r="M152"/>
      <c r="N152"/>
    </row>
    <row r="153" spans="1:14" x14ac:dyDescent="0.25">
      <c r="A153" s="4"/>
      <c r="B153" s="32"/>
      <c r="E153" s="10"/>
      <c r="G153" s="4"/>
      <c r="K153"/>
      <c r="L153"/>
      <c r="M153"/>
      <c r="N153"/>
    </row>
    <row r="154" spans="1:14" ht="18.75" x14ac:dyDescent="0.25">
      <c r="A154" s="252">
        <v>1</v>
      </c>
      <c r="B154" s="32" t="s">
        <v>109</v>
      </c>
      <c r="E154" s="10"/>
      <c r="G154" s="4"/>
      <c r="K154"/>
      <c r="L154"/>
      <c r="M154"/>
      <c r="N154"/>
    </row>
    <row r="155" spans="1:14" ht="18.75" x14ac:dyDescent="0.25">
      <c r="A155" s="252">
        <v>2</v>
      </c>
      <c r="B155" s="31" t="s">
        <v>52</v>
      </c>
      <c r="E155" s="10"/>
      <c r="G155" s="4"/>
      <c r="K155"/>
      <c r="L155"/>
      <c r="M155"/>
      <c r="N155"/>
    </row>
    <row r="156" spans="1:14" x14ac:dyDescent="0.25">
      <c r="A156" s="4"/>
      <c r="B156" s="1"/>
      <c r="E156" s="10"/>
      <c r="G156" s="4"/>
      <c r="K156"/>
      <c r="L156"/>
      <c r="M156"/>
      <c r="N156"/>
    </row>
    <row r="157" spans="1:14" x14ac:dyDescent="0.25">
      <c r="A157" s="4"/>
      <c r="B157" s="1"/>
      <c r="E157" s="10"/>
      <c r="G157" s="4"/>
      <c r="K157"/>
      <c r="L157"/>
      <c r="M157"/>
      <c r="N157"/>
    </row>
    <row r="158" spans="1:14" x14ac:dyDescent="0.25">
      <c r="A158" s="4"/>
      <c r="B158" s="1316" t="s">
        <v>0</v>
      </c>
      <c r="C158" s="1313"/>
      <c r="D158" s="1313"/>
      <c r="E158" s="1313"/>
      <c r="F158" s="1313"/>
      <c r="G158" s="1313"/>
      <c r="K158"/>
      <c r="L158"/>
      <c r="M158"/>
      <c r="N158"/>
    </row>
    <row r="159" spans="1:14" x14ac:dyDescent="0.25">
      <c r="A159" s="4" t="s">
        <v>1</v>
      </c>
      <c r="B159" s="1316" t="s">
        <v>2</v>
      </c>
      <c r="C159" s="1313"/>
      <c r="D159" s="1313"/>
      <c r="E159" s="1313"/>
      <c r="F159" s="1313"/>
      <c r="G159" s="1313"/>
      <c r="K159"/>
      <c r="L159"/>
      <c r="M159"/>
      <c r="N159"/>
    </row>
    <row r="160" spans="1:14" ht="17.25" x14ac:dyDescent="0.25">
      <c r="A160" s="4"/>
      <c r="B160" s="1316" t="s">
        <v>1988</v>
      </c>
      <c r="C160" s="1317"/>
      <c r="D160" s="1317"/>
      <c r="E160" s="1317"/>
      <c r="F160" s="1317"/>
      <c r="G160" s="1317"/>
      <c r="K160"/>
      <c r="L160"/>
      <c r="M160"/>
      <c r="N160"/>
    </row>
    <row r="161" spans="1:14" x14ac:dyDescent="0.25">
      <c r="A161" s="4"/>
      <c r="B161" s="1318" t="str">
        <f>B5</f>
        <v>For the Base Period &amp; True-Up Period Ending December 31, 2025</v>
      </c>
      <c r="C161" s="1319"/>
      <c r="D161" s="1319"/>
      <c r="E161" s="1319"/>
      <c r="F161" s="1319"/>
      <c r="G161" s="1319"/>
      <c r="K161"/>
      <c r="L161"/>
      <c r="M161"/>
      <c r="N161"/>
    </row>
    <row r="162" spans="1:14" x14ac:dyDescent="0.25">
      <c r="A162" s="4"/>
      <c r="B162" s="1312" t="s">
        <v>4</v>
      </c>
      <c r="C162" s="1313"/>
      <c r="D162" s="1313"/>
      <c r="E162" s="1313"/>
      <c r="F162" s="1313"/>
      <c r="G162" s="1313"/>
      <c r="K162"/>
      <c r="L162"/>
      <c r="M162"/>
      <c r="N162"/>
    </row>
    <row r="163" spans="1:14" x14ac:dyDescent="0.25">
      <c r="A163" s="4"/>
      <c r="B163" s="34"/>
      <c r="K163"/>
      <c r="L163"/>
      <c r="M163"/>
      <c r="N163"/>
    </row>
    <row r="164" spans="1:14" x14ac:dyDescent="0.25">
      <c r="A164" s="4" t="s">
        <v>5</v>
      </c>
      <c r="E164" s="25"/>
      <c r="G164" s="4"/>
      <c r="H164" s="4" t="s">
        <v>5</v>
      </c>
      <c r="K164"/>
      <c r="L164"/>
      <c r="M164"/>
      <c r="N164"/>
    </row>
    <row r="165" spans="1:14" x14ac:dyDescent="0.25">
      <c r="A165" s="4" t="s">
        <v>6</v>
      </c>
      <c r="B165" s="1" t="s">
        <v>1</v>
      </c>
      <c r="E165" s="907" t="s">
        <v>7</v>
      </c>
      <c r="G165" s="848" t="s">
        <v>8</v>
      </c>
      <c r="H165" s="4" t="s">
        <v>6</v>
      </c>
      <c r="K165"/>
      <c r="L165"/>
      <c r="M165"/>
      <c r="N165"/>
    </row>
    <row r="166" spans="1:14" x14ac:dyDescent="0.25">
      <c r="A166" s="4"/>
      <c r="B166" s="247" t="s">
        <v>110</v>
      </c>
      <c r="E166" s="25"/>
      <c r="G166" s="4"/>
      <c r="K166"/>
      <c r="L166"/>
      <c r="M166"/>
      <c r="N166"/>
    </row>
    <row r="167" spans="1:14" x14ac:dyDescent="0.25">
      <c r="A167" s="4">
        <v>1</v>
      </c>
      <c r="B167" s="249" t="s">
        <v>111</v>
      </c>
      <c r="E167" s="25"/>
      <c r="G167" s="4"/>
      <c r="H167" s="4">
        <f>A167</f>
        <v>1</v>
      </c>
      <c r="K167"/>
      <c r="L167"/>
      <c r="M167"/>
      <c r="N167"/>
    </row>
    <row r="168" spans="1:14" x14ac:dyDescent="0.25">
      <c r="A168" s="4">
        <f t="shared" ref="A168:A191" si="22">A167+1</f>
        <v>2</v>
      </c>
      <c r="B168" s="32" t="s">
        <v>56</v>
      </c>
      <c r="E168" s="7">
        <f>'Stmt AD'!I21</f>
        <v>8948474.2530016713</v>
      </c>
      <c r="F168" s="71"/>
      <c r="G168" s="4" t="s">
        <v>112</v>
      </c>
      <c r="H168" s="4">
        <f t="shared" ref="H168:H191" si="23">H167+1</f>
        <v>2</v>
      </c>
      <c r="J168" s="726"/>
      <c r="K168"/>
      <c r="L168"/>
      <c r="M168"/>
      <c r="N168"/>
    </row>
    <row r="169" spans="1:14" x14ac:dyDescent="0.25">
      <c r="A169" s="4">
        <f t="shared" si="22"/>
        <v>3</v>
      </c>
      <c r="B169" s="32" t="s">
        <v>113</v>
      </c>
      <c r="E169" s="9">
        <f>'Stmt AD'!I37</f>
        <v>0</v>
      </c>
      <c r="F169" s="71"/>
      <c r="G169" s="4" t="s">
        <v>114</v>
      </c>
      <c r="H169" s="4">
        <f t="shared" si="23"/>
        <v>3</v>
      </c>
      <c r="J169" s="251"/>
      <c r="K169"/>
      <c r="L169"/>
      <c r="M169"/>
      <c r="N169"/>
    </row>
    <row r="170" spans="1:14" x14ac:dyDescent="0.25">
      <c r="A170" s="4">
        <f t="shared" si="22"/>
        <v>4</v>
      </c>
      <c r="B170" s="32" t="s">
        <v>60</v>
      </c>
      <c r="E170" s="9">
        <f>'Stmt AD'!I39</f>
        <v>63728.047961633194</v>
      </c>
      <c r="F170" s="1"/>
      <c r="G170" s="4" t="s">
        <v>115</v>
      </c>
      <c r="H170" s="4">
        <f t="shared" si="23"/>
        <v>4</v>
      </c>
      <c r="K170"/>
      <c r="L170"/>
      <c r="M170"/>
      <c r="N170"/>
    </row>
    <row r="171" spans="1:14" x14ac:dyDescent="0.25">
      <c r="A171" s="4">
        <f t="shared" si="22"/>
        <v>5</v>
      </c>
      <c r="B171" s="32" t="s">
        <v>62</v>
      </c>
      <c r="C171" s="4"/>
      <c r="D171" s="4"/>
      <c r="E171" s="841">
        <f>'Stmt AD'!I41</f>
        <v>408196.55337768659</v>
      </c>
      <c r="F171" s="1"/>
      <c r="G171" s="4" t="s">
        <v>116</v>
      </c>
      <c r="H171" s="4">
        <f t="shared" si="23"/>
        <v>5</v>
      </c>
      <c r="K171"/>
      <c r="L171"/>
      <c r="M171"/>
      <c r="N171"/>
    </row>
    <row r="172" spans="1:14" x14ac:dyDescent="0.25">
      <c r="A172" s="4">
        <f t="shared" si="22"/>
        <v>6</v>
      </c>
      <c r="B172" s="32" t="s">
        <v>117</v>
      </c>
      <c r="E172" s="910">
        <f>SUM(E168:E171)</f>
        <v>9420398.854340991</v>
      </c>
      <c r="F172" s="71"/>
      <c r="G172" s="4" t="s">
        <v>65</v>
      </c>
      <c r="H172" s="4">
        <f t="shared" si="23"/>
        <v>6</v>
      </c>
      <c r="J172" s="251"/>
      <c r="K172"/>
      <c r="L172"/>
      <c r="M172"/>
      <c r="N172"/>
    </row>
    <row r="173" spans="1:14" x14ac:dyDescent="0.25">
      <c r="A173" s="4">
        <f t="shared" si="22"/>
        <v>7</v>
      </c>
      <c r="C173" s="4"/>
      <c r="D173" s="4"/>
      <c r="E173" s="25"/>
      <c r="G173" s="4"/>
      <c r="H173" s="4">
        <f t="shared" si="23"/>
        <v>7</v>
      </c>
      <c r="K173"/>
      <c r="L173"/>
      <c r="M173"/>
      <c r="N173"/>
    </row>
    <row r="174" spans="1:14" x14ac:dyDescent="0.25">
      <c r="A174" s="4">
        <f t="shared" si="22"/>
        <v>8</v>
      </c>
      <c r="B174" s="250" t="s">
        <v>118</v>
      </c>
      <c r="E174" s="25"/>
      <c r="G174" s="4"/>
      <c r="H174" s="4">
        <f t="shared" si="23"/>
        <v>8</v>
      </c>
      <c r="K174"/>
      <c r="L174"/>
      <c r="M174"/>
      <c r="N174"/>
    </row>
    <row r="175" spans="1:14" x14ac:dyDescent="0.25">
      <c r="A175" s="4">
        <f t="shared" si="22"/>
        <v>9</v>
      </c>
      <c r="B175" s="31" t="s">
        <v>119</v>
      </c>
      <c r="E175" s="7">
        <f>'Stmt AE'!I11</f>
        <v>2446724.2792333583</v>
      </c>
      <c r="F175" s="71"/>
      <c r="G175" s="4" t="s">
        <v>120</v>
      </c>
      <c r="H175" s="4">
        <f t="shared" si="23"/>
        <v>9</v>
      </c>
      <c r="K175"/>
      <c r="L175"/>
      <c r="M175"/>
      <c r="N175"/>
    </row>
    <row r="176" spans="1:14" x14ac:dyDescent="0.25">
      <c r="A176" s="4">
        <f t="shared" si="22"/>
        <v>10</v>
      </c>
      <c r="B176" s="31" t="s">
        <v>121</v>
      </c>
      <c r="E176" s="9">
        <f>'Stmt AE'!I21</f>
        <v>0</v>
      </c>
      <c r="F176" s="71"/>
      <c r="G176" s="4" t="s">
        <v>122</v>
      </c>
      <c r="H176" s="4">
        <f t="shared" si="23"/>
        <v>10</v>
      </c>
      <c r="K176"/>
      <c r="L176"/>
      <c r="M176"/>
      <c r="N176"/>
    </row>
    <row r="177" spans="1:14" x14ac:dyDescent="0.25">
      <c r="A177" s="4">
        <f t="shared" si="22"/>
        <v>11</v>
      </c>
      <c r="B177" s="31" t="s">
        <v>123</v>
      </c>
      <c r="E177" s="9">
        <f>'Stmt AE'!I23</f>
        <v>36235.444574008783</v>
      </c>
      <c r="F177" s="1"/>
      <c r="G177" s="4" t="s">
        <v>124</v>
      </c>
      <c r="H177" s="4">
        <f t="shared" si="23"/>
        <v>11</v>
      </c>
      <c r="K177"/>
      <c r="L177"/>
      <c r="M177"/>
      <c r="N177"/>
    </row>
    <row r="178" spans="1:14" x14ac:dyDescent="0.25">
      <c r="A178" s="4">
        <f t="shared" si="22"/>
        <v>12</v>
      </c>
      <c r="B178" s="31" t="s">
        <v>125</v>
      </c>
      <c r="E178" s="841">
        <f>'Stmt AE'!I25</f>
        <v>189267.24246158905</v>
      </c>
      <c r="F178" s="1"/>
      <c r="G178" s="4" t="s">
        <v>126</v>
      </c>
      <c r="H178" s="4">
        <f t="shared" si="23"/>
        <v>12</v>
      </c>
      <c r="K178"/>
      <c r="L178"/>
      <c r="M178"/>
      <c r="N178"/>
    </row>
    <row r="179" spans="1:14" x14ac:dyDescent="0.25">
      <c r="A179" s="4">
        <f t="shared" si="22"/>
        <v>13</v>
      </c>
      <c r="B179" s="251" t="s">
        <v>127</v>
      </c>
      <c r="C179" s="251"/>
      <c r="D179" s="251"/>
      <c r="E179" s="910">
        <f>SUM(E175:E178)</f>
        <v>2672226.9662689562</v>
      </c>
      <c r="F179" s="71"/>
      <c r="G179" s="4" t="s">
        <v>128</v>
      </c>
      <c r="H179" s="4">
        <f t="shared" si="23"/>
        <v>13</v>
      </c>
      <c r="K179"/>
      <c r="L179"/>
      <c r="M179"/>
      <c r="N179"/>
    </row>
    <row r="180" spans="1:14" x14ac:dyDescent="0.25">
      <c r="A180" s="4">
        <f t="shared" si="22"/>
        <v>14</v>
      </c>
      <c r="B180" s="251"/>
      <c r="C180" s="251"/>
      <c r="D180" s="251"/>
      <c r="E180" s="8"/>
      <c r="G180" s="4"/>
      <c r="H180" s="4">
        <f t="shared" si="23"/>
        <v>14</v>
      </c>
      <c r="K180"/>
      <c r="L180"/>
      <c r="M180"/>
      <c r="N180"/>
    </row>
    <row r="181" spans="1:14" x14ac:dyDescent="0.25">
      <c r="A181" s="4">
        <f t="shared" si="22"/>
        <v>15</v>
      </c>
      <c r="B181" s="249" t="s">
        <v>55</v>
      </c>
      <c r="C181" s="251"/>
      <c r="D181" s="251"/>
      <c r="E181" s="8"/>
      <c r="G181" s="4"/>
      <c r="H181" s="4">
        <f t="shared" si="23"/>
        <v>15</v>
      </c>
      <c r="K181"/>
      <c r="L181"/>
      <c r="M181"/>
      <c r="N181"/>
    </row>
    <row r="182" spans="1:14" x14ac:dyDescent="0.25">
      <c r="A182" s="4">
        <f t="shared" si="22"/>
        <v>16</v>
      </c>
      <c r="B182" s="32" t="s">
        <v>56</v>
      </c>
      <c r="E182" s="10">
        <f>+E168-E175</f>
        <v>6501749.9737683125</v>
      </c>
      <c r="F182" s="71"/>
      <c r="G182" s="4" t="s">
        <v>1606</v>
      </c>
      <c r="H182" s="4">
        <f t="shared" si="23"/>
        <v>16</v>
      </c>
      <c r="K182"/>
      <c r="L182"/>
      <c r="M182"/>
      <c r="N182"/>
    </row>
    <row r="183" spans="1:14" x14ac:dyDescent="0.25">
      <c r="A183" s="4">
        <f t="shared" si="22"/>
        <v>17</v>
      </c>
      <c r="B183" s="32" t="s">
        <v>58</v>
      </c>
      <c r="E183" s="8">
        <f>+E169-E176</f>
        <v>0</v>
      </c>
      <c r="F183" s="71"/>
      <c r="G183" s="4" t="s">
        <v>1607</v>
      </c>
      <c r="H183" s="4">
        <f t="shared" si="23"/>
        <v>17</v>
      </c>
      <c r="K183"/>
      <c r="L183"/>
      <c r="M183"/>
      <c r="N183"/>
    </row>
    <row r="184" spans="1:14" x14ac:dyDescent="0.25">
      <c r="A184" s="4">
        <f t="shared" si="22"/>
        <v>18</v>
      </c>
      <c r="B184" s="32" t="s">
        <v>60</v>
      </c>
      <c r="E184" s="8">
        <f>+E170-E177</f>
        <v>27492.603387624411</v>
      </c>
      <c r="G184" s="4" t="s">
        <v>1608</v>
      </c>
      <c r="H184" s="4">
        <f t="shared" si="23"/>
        <v>18</v>
      </c>
      <c r="K184"/>
      <c r="L184"/>
      <c r="M184"/>
      <c r="N184"/>
    </row>
    <row r="185" spans="1:14" x14ac:dyDescent="0.25">
      <c r="A185" s="4">
        <f t="shared" si="22"/>
        <v>19</v>
      </c>
      <c r="B185" s="32" t="s">
        <v>62</v>
      </c>
      <c r="E185" s="911">
        <f>+E171-E178</f>
        <v>218929.31091609754</v>
      </c>
      <c r="G185" s="4" t="s">
        <v>1609</v>
      </c>
      <c r="H185" s="4">
        <f t="shared" si="23"/>
        <v>19</v>
      </c>
      <c r="K185"/>
      <c r="L185"/>
      <c r="M185"/>
      <c r="N185"/>
    </row>
    <row r="186" spans="1:14" ht="16.5" thickBot="1" x14ac:dyDescent="0.3">
      <c r="A186" s="4">
        <f t="shared" si="22"/>
        <v>20</v>
      </c>
      <c r="B186" s="31" t="s">
        <v>64</v>
      </c>
      <c r="E186" s="17">
        <f>SUM(E182:E185)</f>
        <v>6748171.8880720343</v>
      </c>
      <c r="F186" s="71"/>
      <c r="G186" s="4" t="s">
        <v>129</v>
      </c>
      <c r="H186" s="4">
        <f t="shared" si="23"/>
        <v>20</v>
      </c>
      <c r="K186"/>
      <c r="L186"/>
      <c r="M186"/>
      <c r="N186"/>
    </row>
    <row r="187" spans="1:14" ht="16.5" thickTop="1" x14ac:dyDescent="0.25">
      <c r="A187" s="4">
        <f t="shared" si="22"/>
        <v>21</v>
      </c>
      <c r="E187" s="10"/>
      <c r="G187" s="4"/>
      <c r="H187" s="4">
        <f t="shared" si="23"/>
        <v>21</v>
      </c>
      <c r="K187"/>
      <c r="L187"/>
      <c r="M187"/>
      <c r="N187"/>
    </row>
    <row r="188" spans="1:14" ht="18.75" x14ac:dyDescent="0.25">
      <c r="A188" s="4">
        <f t="shared" si="22"/>
        <v>22</v>
      </c>
      <c r="B188" s="247" t="s">
        <v>130</v>
      </c>
      <c r="E188" s="10"/>
      <c r="G188" s="4"/>
      <c r="H188" s="4">
        <f t="shared" si="23"/>
        <v>22</v>
      </c>
      <c r="K188"/>
      <c r="L188"/>
      <c r="M188"/>
      <c r="N188"/>
    </row>
    <row r="189" spans="1:14" x14ac:dyDescent="0.25">
      <c r="A189" s="4">
        <f t="shared" si="22"/>
        <v>23</v>
      </c>
      <c r="B189" s="32" t="s">
        <v>131</v>
      </c>
      <c r="E189" s="7">
        <f>'Stmt AD'!I23</f>
        <v>0</v>
      </c>
      <c r="G189" s="4" t="s">
        <v>132</v>
      </c>
      <c r="H189" s="4">
        <f t="shared" si="23"/>
        <v>23</v>
      </c>
      <c r="K189"/>
      <c r="L189"/>
      <c r="M189"/>
      <c r="N189"/>
    </row>
    <row r="190" spans="1:14" x14ac:dyDescent="0.25">
      <c r="A190" s="4">
        <f t="shared" si="22"/>
        <v>24</v>
      </c>
      <c r="B190" s="31" t="s">
        <v>133</v>
      </c>
      <c r="E190" s="841">
        <f>'Stmt AE'!I29</f>
        <v>0</v>
      </c>
      <c r="G190" s="4" t="s">
        <v>134</v>
      </c>
      <c r="H190" s="4">
        <f t="shared" si="23"/>
        <v>24</v>
      </c>
      <c r="K190"/>
      <c r="L190"/>
      <c r="M190"/>
      <c r="N190"/>
    </row>
    <row r="191" spans="1:14" ht="16.5" thickBot="1" x14ac:dyDescent="0.3">
      <c r="A191" s="4">
        <f t="shared" si="22"/>
        <v>25</v>
      </c>
      <c r="B191" s="32" t="s">
        <v>135</v>
      </c>
      <c r="E191" s="24">
        <f>E189-E190</f>
        <v>0</v>
      </c>
      <c r="G191" s="4" t="s">
        <v>1610</v>
      </c>
      <c r="H191" s="4">
        <f t="shared" si="23"/>
        <v>25</v>
      </c>
      <c r="K191"/>
      <c r="L191"/>
      <c r="M191"/>
      <c r="N191"/>
    </row>
    <row r="192" spans="1:14" ht="16.5" thickTop="1" x14ac:dyDescent="0.25">
      <c r="A192" s="4"/>
      <c r="B192" s="32"/>
      <c r="E192" s="10"/>
      <c r="G192" s="4"/>
      <c r="K192"/>
      <c r="L192"/>
      <c r="M192"/>
      <c r="N192"/>
    </row>
    <row r="193" spans="1:14" x14ac:dyDescent="0.25">
      <c r="A193" s="4"/>
      <c r="B193" s="32"/>
      <c r="E193" s="10"/>
      <c r="G193" s="4"/>
      <c r="K193"/>
      <c r="L193"/>
      <c r="M193"/>
      <c r="N193"/>
    </row>
    <row r="194" spans="1:14" ht="18.75" x14ac:dyDescent="0.25">
      <c r="A194" s="252">
        <v>1</v>
      </c>
      <c r="B194" s="31" t="s">
        <v>136</v>
      </c>
      <c r="E194" s="10"/>
      <c r="G194" s="4"/>
      <c r="K194"/>
      <c r="L194"/>
      <c r="M194"/>
      <c r="N194"/>
    </row>
    <row r="195" spans="1:14" x14ac:dyDescent="0.25">
      <c r="A195" s="4"/>
      <c r="E195" s="10"/>
      <c r="G195" s="4"/>
      <c r="K195"/>
      <c r="L195"/>
      <c r="M195"/>
      <c r="N195"/>
    </row>
    <row r="196" spans="1:14" x14ac:dyDescent="0.25">
      <c r="A196" s="71"/>
      <c r="E196" s="10"/>
      <c r="G196" s="4"/>
      <c r="K196"/>
      <c r="L196"/>
      <c r="M196"/>
      <c r="N196"/>
    </row>
    <row r="197" spans="1:14" x14ac:dyDescent="0.25">
      <c r="A197" s="4"/>
      <c r="B197" s="1316" t="s">
        <v>0</v>
      </c>
      <c r="C197" s="1313"/>
      <c r="D197" s="1313"/>
      <c r="E197" s="1313"/>
      <c r="F197" s="1313"/>
      <c r="G197" s="1313"/>
      <c r="K197"/>
      <c r="L197"/>
      <c r="M197"/>
      <c r="N197"/>
    </row>
    <row r="198" spans="1:14" x14ac:dyDescent="0.25">
      <c r="A198" s="4"/>
      <c r="B198" s="1316" t="s">
        <v>2</v>
      </c>
      <c r="C198" s="1313"/>
      <c r="D198" s="1313"/>
      <c r="E198" s="1313"/>
      <c r="F198" s="1313"/>
      <c r="G198" s="1313"/>
      <c r="K198"/>
      <c r="L198"/>
      <c r="M198"/>
      <c r="N198"/>
    </row>
    <row r="199" spans="1:14" ht="17.25" x14ac:dyDescent="0.25">
      <c r="A199" s="4"/>
      <c r="B199" s="1316" t="s">
        <v>2000</v>
      </c>
      <c r="C199" s="1317"/>
      <c r="D199" s="1317"/>
      <c r="E199" s="1317"/>
      <c r="F199" s="1317"/>
      <c r="G199" s="1317"/>
      <c r="K199"/>
      <c r="L199"/>
      <c r="M199"/>
      <c r="N199"/>
    </row>
    <row r="200" spans="1:14" x14ac:dyDescent="0.25">
      <c r="A200" s="4"/>
      <c r="B200" s="1314" t="s">
        <v>2122</v>
      </c>
      <c r="C200" s="1315"/>
      <c r="D200" s="1315"/>
      <c r="E200" s="1315"/>
      <c r="F200" s="1315"/>
      <c r="G200" s="1315"/>
      <c r="K200"/>
      <c r="L200"/>
      <c r="M200"/>
      <c r="N200"/>
    </row>
    <row r="201" spans="1:14" x14ac:dyDescent="0.25">
      <c r="A201" s="4"/>
      <c r="B201" s="1312" t="s">
        <v>4</v>
      </c>
      <c r="C201" s="1313"/>
      <c r="D201" s="1313"/>
      <c r="E201" s="1313"/>
      <c r="F201" s="1313"/>
      <c r="G201" s="1313"/>
      <c r="K201"/>
      <c r="L201"/>
      <c r="M201"/>
      <c r="N201"/>
    </row>
    <row r="202" spans="1:14" x14ac:dyDescent="0.25">
      <c r="A202" s="4"/>
      <c r="B202" s="261"/>
      <c r="C202" s="1"/>
      <c r="D202" s="1"/>
      <c r="E202" s="1"/>
      <c r="F202" s="1"/>
      <c r="G202" s="1"/>
      <c r="K202"/>
      <c r="L202"/>
      <c r="M202"/>
      <c r="N202"/>
    </row>
    <row r="203" spans="1:14" x14ac:dyDescent="0.25">
      <c r="A203" s="4" t="s">
        <v>5</v>
      </c>
      <c r="E203" s="25"/>
      <c r="G203" s="4"/>
      <c r="H203" s="4" t="s">
        <v>5</v>
      </c>
      <c r="K203"/>
      <c r="L203"/>
      <c r="M203"/>
      <c r="N203"/>
    </row>
    <row r="204" spans="1:14" x14ac:dyDescent="0.25">
      <c r="A204" s="4" t="s">
        <v>6</v>
      </c>
      <c r="B204" s="1" t="s">
        <v>1</v>
      </c>
      <c r="E204" s="907" t="s">
        <v>7</v>
      </c>
      <c r="G204" s="848" t="s">
        <v>8</v>
      </c>
      <c r="H204" s="4" t="s">
        <v>6</v>
      </c>
      <c r="K204"/>
      <c r="L204"/>
      <c r="M204"/>
      <c r="N204"/>
    </row>
    <row r="205" spans="1:14" x14ac:dyDescent="0.25">
      <c r="A205" s="4"/>
      <c r="B205" s="33" t="s">
        <v>137</v>
      </c>
      <c r="E205" s="260"/>
      <c r="G205" s="4"/>
      <c r="K205"/>
      <c r="L205"/>
      <c r="M205"/>
      <c r="N205"/>
    </row>
    <row r="206" spans="1:14" ht="17.25" x14ac:dyDescent="0.25">
      <c r="A206" s="4"/>
      <c r="B206" s="33" t="s">
        <v>138</v>
      </c>
      <c r="E206" s="13"/>
      <c r="G206" s="4"/>
      <c r="K206"/>
      <c r="L206"/>
      <c r="M206"/>
      <c r="N206"/>
    </row>
    <row r="207" spans="1:14" x14ac:dyDescent="0.25">
      <c r="A207" s="4"/>
      <c r="B207" s="33" t="s">
        <v>139</v>
      </c>
      <c r="E207" s="13"/>
      <c r="G207" s="4"/>
      <c r="K207"/>
      <c r="L207"/>
      <c r="M207"/>
      <c r="N207"/>
    </row>
    <row r="208" spans="1:14" x14ac:dyDescent="0.25">
      <c r="A208" s="4">
        <v>1</v>
      </c>
      <c r="B208" s="603" t="s">
        <v>23</v>
      </c>
      <c r="C208" s="837"/>
      <c r="D208" s="837"/>
      <c r="E208" s="1101">
        <f>E139</f>
        <v>5651620.4488822836</v>
      </c>
      <c r="F208" s="1098"/>
      <c r="G208" s="625" t="s">
        <v>1893</v>
      </c>
      <c r="H208" s="4">
        <v>1</v>
      </c>
      <c r="I208" s="357"/>
      <c r="K208"/>
      <c r="L208"/>
      <c r="M208"/>
      <c r="N208"/>
    </row>
    <row r="209" spans="1:14" x14ac:dyDescent="0.25">
      <c r="A209" s="4">
        <f>A208+1</f>
        <v>2</v>
      </c>
      <c r="B209" s="603" t="s">
        <v>1621</v>
      </c>
      <c r="C209" s="837"/>
      <c r="D209" s="837"/>
      <c r="E209" s="1179">
        <f>-E127</f>
        <v>1164763.485273672</v>
      </c>
      <c r="F209" s="1098"/>
      <c r="G209" s="625" t="s">
        <v>1685</v>
      </c>
      <c r="H209" s="4">
        <f>H208+1</f>
        <v>2</v>
      </c>
      <c r="I209" s="357"/>
      <c r="K209"/>
      <c r="L209"/>
      <c r="M209"/>
      <c r="N209"/>
    </row>
    <row r="210" spans="1:14" x14ac:dyDescent="0.25">
      <c r="A210" s="4">
        <f>A209+1</f>
        <v>3</v>
      </c>
      <c r="B210" s="603" t="s">
        <v>1626</v>
      </c>
      <c r="C210" s="837"/>
      <c r="D210" s="837"/>
      <c r="E210" s="1149">
        <f>'Stmt AF'!I25</f>
        <v>-798997.19101147482</v>
      </c>
      <c r="F210" s="1102"/>
      <c r="G210" s="4" t="s">
        <v>1642</v>
      </c>
      <c r="H210" s="4">
        <f t="shared" ref="H210:H211" si="24">H209+1</f>
        <v>3</v>
      </c>
      <c r="I210" s="357"/>
      <c r="K210"/>
      <c r="L210"/>
      <c r="M210"/>
      <c r="N210"/>
    </row>
    <row r="211" spans="1:14" x14ac:dyDescent="0.25">
      <c r="A211" s="4">
        <f t="shared" ref="A211:A239" si="25">A210+1</f>
        <v>4</v>
      </c>
      <c r="B211" s="603" t="s">
        <v>1647</v>
      </c>
      <c r="C211" s="837"/>
      <c r="D211" s="837"/>
      <c r="E211" s="1109">
        <f>SUM(E208:E210)</f>
        <v>6017386.7431444814</v>
      </c>
      <c r="F211" s="1098"/>
      <c r="G211" s="625" t="s">
        <v>458</v>
      </c>
      <c r="H211" s="4">
        <f t="shared" si="24"/>
        <v>4</v>
      </c>
      <c r="I211" s="357"/>
      <c r="K211"/>
      <c r="L211"/>
      <c r="M211"/>
      <c r="N211"/>
    </row>
    <row r="212" spans="1:14" x14ac:dyDescent="0.25">
      <c r="A212" s="4">
        <f t="shared" si="25"/>
        <v>5</v>
      </c>
      <c r="B212" s="603"/>
      <c r="C212" s="837"/>
      <c r="D212" s="837"/>
      <c r="E212" s="1103"/>
      <c r="F212" s="1098"/>
      <c r="G212" s="625"/>
      <c r="H212" s="4">
        <f t="shared" ref="H212:H239" si="26">H211+1</f>
        <v>5</v>
      </c>
      <c r="I212" s="357"/>
      <c r="K212"/>
      <c r="L212"/>
      <c r="M212"/>
      <c r="N212"/>
    </row>
    <row r="213" spans="1:14" ht="18.75" x14ac:dyDescent="0.25">
      <c r="A213" s="4">
        <f t="shared" si="25"/>
        <v>6</v>
      </c>
      <c r="B213" s="32" t="s">
        <v>1512</v>
      </c>
      <c r="C213" s="837"/>
      <c r="D213" s="837"/>
      <c r="E213" s="1115">
        <f>IFERROR('Stmt AV'!F143,0)</f>
        <v>9.6242072833420123E-2</v>
      </c>
      <c r="F213" s="837"/>
      <c r="G213" s="625" t="s">
        <v>1665</v>
      </c>
      <c r="H213" s="4">
        <f t="shared" si="26"/>
        <v>6</v>
      </c>
      <c r="I213" s="357"/>
      <c r="K213"/>
      <c r="L213"/>
      <c r="M213"/>
      <c r="N213"/>
    </row>
    <row r="214" spans="1:14" x14ac:dyDescent="0.25">
      <c r="A214" s="4">
        <f t="shared" si="25"/>
        <v>7</v>
      </c>
      <c r="B214" s="32"/>
      <c r="C214" s="837"/>
      <c r="D214" s="837"/>
      <c r="E214" s="1108"/>
      <c r="F214" s="837"/>
      <c r="G214" s="625"/>
      <c r="H214" s="4">
        <f t="shared" si="26"/>
        <v>7</v>
      </c>
      <c r="I214" s="357"/>
      <c r="K214"/>
      <c r="L214"/>
      <c r="M214"/>
      <c r="N214"/>
    </row>
    <row r="215" spans="1:14" x14ac:dyDescent="0.25">
      <c r="A215" s="4">
        <f t="shared" si="25"/>
        <v>8</v>
      </c>
      <c r="B215" s="603" t="s">
        <v>1495</v>
      </c>
      <c r="C215" s="837"/>
      <c r="D215" s="837"/>
      <c r="E215" s="1103">
        <f>E211*E213</f>
        <v>579125.77320056793</v>
      </c>
      <c r="F215" s="1098"/>
      <c r="G215" s="625" t="s">
        <v>1628</v>
      </c>
      <c r="H215" s="4">
        <f t="shared" si="26"/>
        <v>8</v>
      </c>
      <c r="I215" s="357"/>
      <c r="K215"/>
      <c r="L215"/>
      <c r="M215"/>
      <c r="N215"/>
    </row>
    <row r="216" spans="1:14" x14ac:dyDescent="0.25">
      <c r="A216" s="4">
        <f t="shared" si="25"/>
        <v>9</v>
      </c>
      <c r="B216" s="31" t="s">
        <v>1496</v>
      </c>
      <c r="C216" s="837"/>
      <c r="D216" s="837"/>
      <c r="E216" s="1179">
        <f>E29+E33</f>
        <v>543923.66686817526</v>
      </c>
      <c r="F216" s="837"/>
      <c r="G216" s="625" t="s">
        <v>1671</v>
      </c>
      <c r="H216" s="4">
        <f t="shared" si="26"/>
        <v>9</v>
      </c>
      <c r="I216" s="357"/>
      <c r="K216"/>
      <c r="L216"/>
      <c r="M216"/>
      <c r="N216"/>
    </row>
    <row r="217" spans="1:14" x14ac:dyDescent="0.25">
      <c r="A217" s="4">
        <f t="shared" si="25"/>
        <v>10</v>
      </c>
      <c r="B217" s="603" t="s">
        <v>1627</v>
      </c>
      <c r="C217" s="837"/>
      <c r="D217" s="837"/>
      <c r="E217" s="1109">
        <f>E215-E216</f>
        <v>35202.106332392665</v>
      </c>
      <c r="F217" s="1102"/>
      <c r="G217" s="625" t="s">
        <v>1629</v>
      </c>
      <c r="H217" s="4">
        <f t="shared" si="26"/>
        <v>10</v>
      </c>
      <c r="I217" s="357"/>
      <c r="K217"/>
      <c r="L217"/>
      <c r="M217"/>
      <c r="N217"/>
    </row>
    <row r="218" spans="1:14" x14ac:dyDescent="0.25">
      <c r="A218" s="4">
        <f t="shared" si="25"/>
        <v>11</v>
      </c>
      <c r="B218" s="33"/>
      <c r="E218" s="13"/>
      <c r="G218" s="4"/>
      <c r="H218" s="4">
        <f t="shared" si="26"/>
        <v>11</v>
      </c>
      <c r="I218" s="357"/>
      <c r="K218"/>
      <c r="L218"/>
      <c r="M218"/>
      <c r="N218"/>
    </row>
    <row r="219" spans="1:14" ht="18.75" x14ac:dyDescent="0.25">
      <c r="A219" s="4">
        <f t="shared" si="25"/>
        <v>12</v>
      </c>
      <c r="B219" s="31" t="s">
        <v>140</v>
      </c>
      <c r="E219" s="7">
        <f>E41</f>
        <v>1134066.8329660275</v>
      </c>
      <c r="F219" s="217"/>
      <c r="G219" s="4" t="s">
        <v>1873</v>
      </c>
      <c r="H219" s="4">
        <f t="shared" si="26"/>
        <v>12</v>
      </c>
      <c r="I219" s="357"/>
      <c r="K219"/>
      <c r="L219"/>
      <c r="M219"/>
      <c r="N219"/>
    </row>
    <row r="220" spans="1:14" x14ac:dyDescent="0.25">
      <c r="A220" s="4">
        <f t="shared" si="25"/>
        <v>13</v>
      </c>
      <c r="B220" s="31" t="s">
        <v>1840</v>
      </c>
      <c r="E220" s="8">
        <f>(-E11)*0.6</f>
        <v>-61189.985718434691</v>
      </c>
      <c r="F220" s="71"/>
      <c r="G220" s="4" t="s">
        <v>1825</v>
      </c>
      <c r="H220" s="4">
        <f t="shared" si="26"/>
        <v>13</v>
      </c>
      <c r="I220" s="357"/>
      <c r="K220"/>
      <c r="L220"/>
      <c r="M220"/>
      <c r="N220"/>
    </row>
    <row r="221" spans="1:14" x14ac:dyDescent="0.25">
      <c r="A221" s="4">
        <f t="shared" si="25"/>
        <v>14</v>
      </c>
      <c r="B221" s="31" t="s">
        <v>1841</v>
      </c>
      <c r="E221" s="8">
        <f>(-E13)*0.6</f>
        <v>-65510.021426279171</v>
      </c>
      <c r="F221" s="217"/>
      <c r="G221" s="4" t="s">
        <v>1826</v>
      </c>
      <c r="H221" s="4">
        <f t="shared" si="26"/>
        <v>14</v>
      </c>
      <c r="I221" s="357"/>
      <c r="K221"/>
      <c r="L221"/>
      <c r="M221"/>
      <c r="N221"/>
    </row>
    <row r="222" spans="1:14" x14ac:dyDescent="0.25">
      <c r="A222" s="4">
        <f t="shared" si="25"/>
        <v>15</v>
      </c>
      <c r="B222" s="32" t="s">
        <v>12</v>
      </c>
      <c r="E222" s="8">
        <f>-E15</f>
        <v>0</v>
      </c>
      <c r="G222" s="4" t="s">
        <v>141</v>
      </c>
      <c r="H222" s="4">
        <f t="shared" si="26"/>
        <v>15</v>
      </c>
      <c r="I222" s="357"/>
      <c r="K222"/>
      <c r="L222"/>
      <c r="M222"/>
      <c r="N222"/>
    </row>
    <row r="223" spans="1:14" x14ac:dyDescent="0.25">
      <c r="A223" s="4">
        <f t="shared" si="25"/>
        <v>16</v>
      </c>
      <c r="B223" s="31" t="s">
        <v>25</v>
      </c>
      <c r="E223" s="8">
        <f>-E35</f>
        <v>-1304.0991895338727</v>
      </c>
      <c r="G223" s="4" t="s">
        <v>1687</v>
      </c>
      <c r="H223" s="4">
        <f t="shared" si="26"/>
        <v>16</v>
      </c>
      <c r="I223" s="357"/>
      <c r="J223" s="32"/>
      <c r="K223"/>
      <c r="L223"/>
      <c r="M223"/>
      <c r="N223"/>
    </row>
    <row r="224" spans="1:14" x14ac:dyDescent="0.25">
      <c r="A224" s="4">
        <f t="shared" si="25"/>
        <v>17</v>
      </c>
      <c r="B224" s="248" t="s">
        <v>31</v>
      </c>
      <c r="E224" s="11">
        <f>-E39</f>
        <v>0</v>
      </c>
      <c r="G224" s="4" t="s">
        <v>1904</v>
      </c>
      <c r="H224" s="4">
        <f t="shared" si="26"/>
        <v>17</v>
      </c>
      <c r="I224" s="357"/>
      <c r="K224"/>
      <c r="L224"/>
      <c r="M224"/>
      <c r="N224"/>
    </row>
    <row r="225" spans="1:14" x14ac:dyDescent="0.25">
      <c r="A225" s="4">
        <f t="shared" si="25"/>
        <v>18</v>
      </c>
      <c r="B225" s="603" t="s">
        <v>1627</v>
      </c>
      <c r="E225" s="23">
        <f>E217</f>
        <v>35202.106332392665</v>
      </c>
      <c r="G225" s="1104" t="s">
        <v>1630</v>
      </c>
      <c r="H225" s="4">
        <f t="shared" si="26"/>
        <v>18</v>
      </c>
      <c r="I225" s="357"/>
      <c r="K225"/>
      <c r="L225"/>
      <c r="M225"/>
      <c r="N225"/>
    </row>
    <row r="226" spans="1:14" ht="18.75" x14ac:dyDescent="0.25">
      <c r="A226" s="4">
        <f t="shared" si="25"/>
        <v>19</v>
      </c>
      <c r="B226" s="31" t="s">
        <v>142</v>
      </c>
      <c r="E226" s="910">
        <f>SUM(E219:E225)</f>
        <v>1041264.8329641725</v>
      </c>
      <c r="F226" s="217"/>
      <c r="G226" s="4" t="s">
        <v>1631</v>
      </c>
      <c r="H226" s="4">
        <f t="shared" si="26"/>
        <v>19</v>
      </c>
      <c r="I226" s="357"/>
      <c r="K226"/>
      <c r="L226"/>
      <c r="M226"/>
      <c r="N226"/>
    </row>
    <row r="227" spans="1:14" x14ac:dyDescent="0.25">
      <c r="A227" s="4">
        <f t="shared" si="25"/>
        <v>20</v>
      </c>
      <c r="E227" s="8"/>
      <c r="G227" s="4"/>
      <c r="H227" s="4">
        <f t="shared" si="26"/>
        <v>20</v>
      </c>
      <c r="I227" s="357"/>
      <c r="K227"/>
      <c r="L227"/>
      <c r="M227"/>
      <c r="N227"/>
    </row>
    <row r="228" spans="1:14" x14ac:dyDescent="0.25">
      <c r="A228" s="4">
        <f t="shared" si="25"/>
        <v>21</v>
      </c>
      <c r="B228" s="32" t="s">
        <v>144</v>
      </c>
      <c r="E228" s="843">
        <f>E186</f>
        <v>6748171.8880720343</v>
      </c>
      <c r="F228" s="71"/>
      <c r="G228" s="4" t="s">
        <v>1686</v>
      </c>
      <c r="H228" s="4">
        <f t="shared" si="26"/>
        <v>21</v>
      </c>
      <c r="I228" s="357"/>
      <c r="K228"/>
      <c r="L228"/>
      <c r="M228"/>
      <c r="N228"/>
    </row>
    <row r="229" spans="1:14" x14ac:dyDescent="0.25">
      <c r="A229" s="4">
        <f t="shared" si="25"/>
        <v>22</v>
      </c>
      <c r="E229" s="13"/>
      <c r="G229" s="4"/>
      <c r="H229" s="4">
        <f t="shared" si="26"/>
        <v>22</v>
      </c>
      <c r="I229" s="357"/>
      <c r="K229"/>
      <c r="L229"/>
      <c r="M229"/>
      <c r="N229"/>
    </row>
    <row r="230" spans="1:14" ht="18.75" x14ac:dyDescent="0.25">
      <c r="A230" s="4">
        <f t="shared" si="25"/>
        <v>23</v>
      </c>
      <c r="B230" s="31" t="s">
        <v>145</v>
      </c>
      <c r="E230" s="26">
        <f>IFERROR(E226/E228,0)</f>
        <v>0.15430324689931155</v>
      </c>
      <c r="F230" s="217"/>
      <c r="G230" s="4" t="s">
        <v>1632</v>
      </c>
      <c r="H230" s="4">
        <f t="shared" si="26"/>
        <v>23</v>
      </c>
      <c r="I230" s="357"/>
      <c r="K230"/>
      <c r="L230"/>
      <c r="M230"/>
      <c r="N230"/>
    </row>
    <row r="231" spans="1:14" x14ac:dyDescent="0.25">
      <c r="A231" s="4">
        <f t="shared" si="25"/>
        <v>24</v>
      </c>
      <c r="E231" s="27"/>
      <c r="G231" s="4"/>
      <c r="H231" s="4">
        <f t="shared" si="26"/>
        <v>24</v>
      </c>
      <c r="I231" s="357"/>
      <c r="K231"/>
      <c r="L231"/>
      <c r="M231"/>
      <c r="N231"/>
    </row>
    <row r="232" spans="1:14" ht="31.5" x14ac:dyDescent="0.25">
      <c r="A232" s="4">
        <f t="shared" si="25"/>
        <v>25</v>
      </c>
      <c r="B232" s="31" t="s">
        <v>146</v>
      </c>
      <c r="E232" s="912">
        <f>'Summary of HV-LV Splits'!I15</f>
        <v>819491.36810232175</v>
      </c>
      <c r="F232" s="217"/>
      <c r="G232" s="90" t="s">
        <v>147</v>
      </c>
      <c r="H232" s="4">
        <f t="shared" si="26"/>
        <v>25</v>
      </c>
      <c r="I232" s="357"/>
      <c r="K232"/>
      <c r="L232"/>
      <c r="M232"/>
      <c r="N232"/>
    </row>
    <row r="233" spans="1:14" x14ac:dyDescent="0.25">
      <c r="A233" s="4">
        <f t="shared" si="25"/>
        <v>26</v>
      </c>
      <c r="E233" s="35"/>
      <c r="F233" s="217"/>
      <c r="G233" s="90"/>
      <c r="H233" s="4">
        <f t="shared" si="26"/>
        <v>26</v>
      </c>
      <c r="I233" s="357"/>
      <c r="K233"/>
      <c r="L233"/>
      <c r="M233"/>
      <c r="N233"/>
    </row>
    <row r="234" spans="1:14" x14ac:dyDescent="0.25">
      <c r="A234" s="4">
        <f t="shared" si="25"/>
        <v>27</v>
      </c>
      <c r="B234" s="31" t="s">
        <v>148</v>
      </c>
      <c r="E234" s="913">
        <f>'AJ-1B'!F49</f>
        <v>2.877E-2</v>
      </c>
      <c r="F234" s="217"/>
      <c r="G234" s="90" t="s">
        <v>1912</v>
      </c>
      <c r="H234" s="4">
        <f t="shared" si="26"/>
        <v>27</v>
      </c>
      <c r="I234" s="357"/>
      <c r="K234"/>
      <c r="L234"/>
      <c r="M234"/>
      <c r="N234"/>
    </row>
    <row r="235" spans="1:14" x14ac:dyDescent="0.25">
      <c r="A235" s="4">
        <f t="shared" si="25"/>
        <v>28</v>
      </c>
      <c r="B235" s="31" t="s">
        <v>149</v>
      </c>
      <c r="E235" s="1110">
        <f>E232*E234</f>
        <v>23576.766660303798</v>
      </c>
      <c r="F235" s="217"/>
      <c r="G235" s="90" t="s">
        <v>1523</v>
      </c>
      <c r="H235" s="4">
        <f t="shared" si="26"/>
        <v>28</v>
      </c>
      <c r="I235" s="357"/>
      <c r="K235"/>
      <c r="L235"/>
      <c r="M235"/>
      <c r="N235"/>
    </row>
    <row r="236" spans="1:14" x14ac:dyDescent="0.25">
      <c r="A236" s="4">
        <f t="shared" si="25"/>
        <v>29</v>
      </c>
      <c r="E236" s="35"/>
      <c r="F236" s="217"/>
      <c r="G236" s="601" t="s">
        <v>150</v>
      </c>
      <c r="H236" s="4">
        <f t="shared" si="26"/>
        <v>29</v>
      </c>
      <c r="I236" s="357"/>
      <c r="K236"/>
      <c r="L236"/>
      <c r="M236"/>
      <c r="N236"/>
    </row>
    <row r="237" spans="1:14" x14ac:dyDescent="0.25">
      <c r="A237" s="4">
        <f t="shared" si="25"/>
        <v>30</v>
      </c>
      <c r="B237" s="31" t="s">
        <v>151</v>
      </c>
      <c r="E237" s="914">
        <f>E232-E235</f>
        <v>795914.60144201794</v>
      </c>
      <c r="F237" s="217"/>
      <c r="G237" s="90" t="s">
        <v>1633</v>
      </c>
      <c r="H237" s="4">
        <f t="shared" si="26"/>
        <v>30</v>
      </c>
      <c r="I237" s="357"/>
      <c r="K237"/>
      <c r="L237"/>
      <c r="M237"/>
      <c r="N237"/>
    </row>
    <row r="238" spans="1:14" x14ac:dyDescent="0.25">
      <c r="A238" s="4">
        <f t="shared" si="25"/>
        <v>31</v>
      </c>
      <c r="B238" s="250"/>
      <c r="E238" s="27"/>
      <c r="G238" s="4"/>
      <c r="H238" s="4">
        <f t="shared" si="26"/>
        <v>31</v>
      </c>
      <c r="I238" s="357"/>
      <c r="K238"/>
      <c r="L238"/>
      <c r="M238"/>
      <c r="N238"/>
    </row>
    <row r="239" spans="1:14" ht="16.5" thickBot="1" x14ac:dyDescent="0.3">
      <c r="A239" s="4">
        <f t="shared" si="25"/>
        <v>32</v>
      </c>
      <c r="B239" s="31" t="s">
        <v>152</v>
      </c>
      <c r="E239" s="24">
        <f>E230*E237</f>
        <v>122812.20725707484</v>
      </c>
      <c r="F239" s="217"/>
      <c r="G239" s="4" t="s">
        <v>1634</v>
      </c>
      <c r="H239" s="4">
        <f t="shared" si="26"/>
        <v>32</v>
      </c>
      <c r="I239" s="357"/>
      <c r="J239" s="10"/>
      <c r="K239"/>
      <c r="L239"/>
      <c r="M239"/>
      <c r="N239"/>
    </row>
    <row r="240" spans="1:14" ht="16.5" thickTop="1" x14ac:dyDescent="0.25">
      <c r="A240" s="4"/>
      <c r="E240" s="10"/>
      <c r="G240" s="4"/>
      <c r="K240"/>
      <c r="L240"/>
      <c r="M240"/>
      <c r="N240"/>
    </row>
    <row r="241" spans="1:14" x14ac:dyDescent="0.25">
      <c r="A241" s="4"/>
      <c r="B241" s="1"/>
      <c r="E241" s="27"/>
      <c r="G241" s="4"/>
      <c r="K241"/>
      <c r="L241"/>
      <c r="M241"/>
      <c r="N241"/>
    </row>
    <row r="242" spans="1:14" x14ac:dyDescent="0.25">
      <c r="A242" s="4"/>
      <c r="B242" s="1316" t="s">
        <v>0</v>
      </c>
      <c r="C242" s="1313"/>
      <c r="D242" s="1313"/>
      <c r="E242" s="1313"/>
      <c r="F242" s="1313"/>
      <c r="G242" s="1313"/>
      <c r="K242"/>
      <c r="L242"/>
      <c r="M242"/>
      <c r="N242"/>
    </row>
    <row r="243" spans="1:14" x14ac:dyDescent="0.25">
      <c r="A243" s="4" t="s">
        <v>1</v>
      </c>
      <c r="B243" s="1316" t="s">
        <v>2</v>
      </c>
      <c r="C243" s="1313"/>
      <c r="D243" s="1313"/>
      <c r="E243" s="1313"/>
      <c r="F243" s="1313"/>
      <c r="G243" s="1313"/>
      <c r="K243"/>
      <c r="L243"/>
      <c r="M243"/>
      <c r="N243"/>
    </row>
    <row r="244" spans="1:14" ht="17.25" x14ac:dyDescent="0.25">
      <c r="A244" s="4"/>
      <c r="B244" s="1316" t="s">
        <v>2000</v>
      </c>
      <c r="C244" s="1317"/>
      <c r="D244" s="1317"/>
      <c r="E244" s="1317"/>
      <c r="F244" s="1317"/>
      <c r="G244" s="1317"/>
      <c r="K244"/>
      <c r="L244"/>
      <c r="M244"/>
      <c r="N244"/>
    </row>
    <row r="245" spans="1:14" x14ac:dyDescent="0.25">
      <c r="A245" s="4"/>
      <c r="B245" s="1318" t="str">
        <f>B200</f>
        <v>For the Forecast Period January 1, 2026 - December 31, 2027</v>
      </c>
      <c r="C245" s="1319"/>
      <c r="D245" s="1319"/>
      <c r="E245" s="1319"/>
      <c r="F245" s="1319"/>
      <c r="G245" s="1319"/>
      <c r="K245"/>
      <c r="L245"/>
      <c r="M245"/>
      <c r="N245"/>
    </row>
    <row r="246" spans="1:14" x14ac:dyDescent="0.25">
      <c r="A246" s="4"/>
      <c r="B246" s="1312" t="s">
        <v>4</v>
      </c>
      <c r="C246" s="1313"/>
      <c r="D246" s="1313"/>
      <c r="E246" s="1313"/>
      <c r="F246" s="1313"/>
      <c r="G246" s="1313"/>
      <c r="K246"/>
      <c r="L246"/>
      <c r="M246"/>
      <c r="N246"/>
    </row>
    <row r="247" spans="1:14" x14ac:dyDescent="0.25">
      <c r="A247" s="4"/>
      <c r="B247" s="261"/>
      <c r="C247" s="1"/>
      <c r="D247" s="1"/>
      <c r="E247" s="1"/>
      <c r="F247" s="1"/>
      <c r="G247" s="1"/>
      <c r="K247"/>
      <c r="L247"/>
      <c r="M247"/>
      <c r="N247"/>
    </row>
    <row r="248" spans="1:14" x14ac:dyDescent="0.25">
      <c r="A248" s="4" t="s">
        <v>5</v>
      </c>
      <c r="E248" s="25"/>
      <c r="G248" s="4"/>
      <c r="H248" s="4" t="s">
        <v>5</v>
      </c>
      <c r="K248"/>
      <c r="L248"/>
      <c r="M248"/>
      <c r="N248"/>
    </row>
    <row r="249" spans="1:14" x14ac:dyDescent="0.25">
      <c r="A249" s="4" t="s">
        <v>6</v>
      </c>
      <c r="B249" s="1" t="s">
        <v>1</v>
      </c>
      <c r="E249" s="907" t="s">
        <v>7</v>
      </c>
      <c r="G249" s="848" t="s">
        <v>8</v>
      </c>
      <c r="H249" s="4" t="s">
        <v>6</v>
      </c>
      <c r="K249"/>
      <c r="L249"/>
      <c r="M249"/>
      <c r="N249"/>
    </row>
    <row r="250" spans="1:14" x14ac:dyDescent="0.25">
      <c r="A250" s="4"/>
      <c r="B250" s="33" t="s">
        <v>1526</v>
      </c>
      <c r="E250" s="46"/>
      <c r="G250" s="4"/>
      <c r="K250"/>
      <c r="L250"/>
      <c r="M250"/>
      <c r="N250"/>
    </row>
    <row r="251" spans="1:14" ht="17.25" x14ac:dyDescent="0.25">
      <c r="A251" s="4"/>
      <c r="B251" s="33" t="s">
        <v>153</v>
      </c>
      <c r="E251" s="27"/>
      <c r="G251" s="4"/>
      <c r="K251"/>
      <c r="L251"/>
      <c r="M251"/>
      <c r="N251"/>
    </row>
    <row r="252" spans="1:14" x14ac:dyDescent="0.25">
      <c r="A252" s="4"/>
      <c r="B252" s="33" t="s">
        <v>154</v>
      </c>
      <c r="E252" s="27"/>
      <c r="G252" s="4"/>
      <c r="K252"/>
      <c r="L252"/>
      <c r="M252"/>
      <c r="N252"/>
    </row>
    <row r="253" spans="1:14" x14ac:dyDescent="0.25">
      <c r="A253" s="4">
        <v>1</v>
      </c>
      <c r="B253" s="603" t="s">
        <v>23</v>
      </c>
      <c r="C253" s="837"/>
      <c r="D253" s="837"/>
      <c r="E253" s="1101">
        <f>E139</f>
        <v>5651620.4488822836</v>
      </c>
      <c r="F253" s="1098"/>
      <c r="G253" s="625" t="s">
        <v>1893</v>
      </c>
      <c r="H253" s="4">
        <v>1</v>
      </c>
      <c r="I253" s="357"/>
      <c r="K253"/>
      <c r="L253"/>
      <c r="M253"/>
      <c r="N253"/>
    </row>
    <row r="254" spans="1:14" x14ac:dyDescent="0.25">
      <c r="A254" s="4">
        <f>A253+1</f>
        <v>2</v>
      </c>
      <c r="B254" s="603" t="s">
        <v>1621</v>
      </c>
      <c r="C254" s="837"/>
      <c r="D254" s="837"/>
      <c r="E254" s="1164">
        <f>-E127</f>
        <v>1164763.485273672</v>
      </c>
      <c r="F254" s="1102"/>
      <c r="G254" s="625" t="s">
        <v>1685</v>
      </c>
      <c r="H254" s="4">
        <f>H253+1</f>
        <v>2</v>
      </c>
      <c r="I254" s="357"/>
      <c r="K254"/>
      <c r="L254"/>
      <c r="M254"/>
      <c r="N254"/>
    </row>
    <row r="255" spans="1:14" x14ac:dyDescent="0.25">
      <c r="A255" s="4">
        <f t="shared" ref="A255:A258" si="27">A254+1</f>
        <v>3</v>
      </c>
      <c r="B255" s="603" t="s">
        <v>1626</v>
      </c>
      <c r="C255" s="837"/>
      <c r="D255" s="837"/>
      <c r="E255" s="1149">
        <f>'Stmt AF'!I25</f>
        <v>-798997.19101147482</v>
      </c>
      <c r="F255" s="1102"/>
      <c r="G255" s="4" t="s">
        <v>1642</v>
      </c>
      <c r="H255" s="4">
        <f t="shared" ref="H255:H259" si="28">H254+1</f>
        <v>3</v>
      </c>
      <c r="I255" s="357"/>
      <c r="K255"/>
      <c r="L255"/>
      <c r="M255"/>
      <c r="N255"/>
    </row>
    <row r="256" spans="1:14" x14ac:dyDescent="0.25">
      <c r="A256" s="4">
        <f t="shared" si="27"/>
        <v>4</v>
      </c>
      <c r="B256" s="603" t="s">
        <v>1646</v>
      </c>
      <c r="C256" s="837"/>
      <c r="D256" s="837"/>
      <c r="E256" s="1109">
        <f>SUM(E253:E255)</f>
        <v>6017386.7431444814</v>
      </c>
      <c r="F256" s="1098"/>
      <c r="G256" s="625" t="s">
        <v>458</v>
      </c>
      <c r="H256" s="4">
        <f t="shared" si="28"/>
        <v>4</v>
      </c>
      <c r="I256" s="357"/>
      <c r="K256"/>
      <c r="L256"/>
      <c r="M256"/>
      <c r="N256"/>
    </row>
    <row r="257" spans="1:14" x14ac:dyDescent="0.25">
      <c r="A257" s="4">
        <f t="shared" si="27"/>
        <v>5</v>
      </c>
      <c r="B257" s="603"/>
      <c r="C257" s="837"/>
      <c r="D257" s="837"/>
      <c r="E257" s="1103"/>
      <c r="F257" s="1098"/>
      <c r="G257" s="625"/>
      <c r="H257" s="4">
        <f t="shared" si="28"/>
        <v>5</v>
      </c>
      <c r="I257" s="357"/>
      <c r="K257"/>
      <c r="L257"/>
      <c r="M257"/>
      <c r="N257"/>
    </row>
    <row r="258" spans="1:14" ht="18.75" x14ac:dyDescent="0.25">
      <c r="A258" s="4">
        <f t="shared" si="27"/>
        <v>6</v>
      </c>
      <c r="B258" s="32" t="s">
        <v>1644</v>
      </c>
      <c r="C258" s="837"/>
      <c r="D258" s="837"/>
      <c r="E258" s="1115">
        <f>IFERROR('Stmt AV'!F143,0)</f>
        <v>9.6242072833420123E-2</v>
      </c>
      <c r="F258" s="837"/>
      <c r="G258" s="625" t="s">
        <v>1665</v>
      </c>
      <c r="H258" s="4">
        <f t="shared" si="28"/>
        <v>6</v>
      </c>
      <c r="I258" s="357"/>
      <c r="K258"/>
      <c r="L258"/>
      <c r="M258"/>
      <c r="N258"/>
    </row>
    <row r="259" spans="1:14" x14ac:dyDescent="0.25">
      <c r="A259" s="4">
        <f t="shared" ref="A259:A299" si="29">A258+1</f>
        <v>7</v>
      </c>
      <c r="B259" s="32"/>
      <c r="C259" s="837"/>
      <c r="D259" s="837"/>
      <c r="E259" s="1108"/>
      <c r="F259" s="837"/>
      <c r="G259" s="625"/>
      <c r="H259" s="4">
        <f t="shared" si="28"/>
        <v>7</v>
      </c>
      <c r="I259" s="357"/>
      <c r="K259"/>
      <c r="L259"/>
      <c r="M259"/>
      <c r="N259"/>
    </row>
    <row r="260" spans="1:14" x14ac:dyDescent="0.25">
      <c r="A260" s="4">
        <f t="shared" si="29"/>
        <v>8</v>
      </c>
      <c r="B260" s="603" t="s">
        <v>1495</v>
      </c>
      <c r="C260" s="837"/>
      <c r="D260" s="837"/>
      <c r="E260" s="1103">
        <f>E256*E258</f>
        <v>579125.77320056793</v>
      </c>
      <c r="F260" s="1098"/>
      <c r="G260" s="625" t="s">
        <v>1628</v>
      </c>
      <c r="H260" s="4">
        <f t="shared" ref="H260:H299" si="30">H259+1</f>
        <v>8</v>
      </c>
      <c r="I260" s="357"/>
      <c r="K260"/>
      <c r="L260"/>
      <c r="M260"/>
      <c r="N260"/>
    </row>
    <row r="261" spans="1:14" x14ac:dyDescent="0.25">
      <c r="A261" s="4">
        <f t="shared" si="29"/>
        <v>9</v>
      </c>
      <c r="B261" s="31" t="s">
        <v>1496</v>
      </c>
      <c r="C261" s="837"/>
      <c r="D261" s="837"/>
      <c r="E261" s="1179">
        <f>E29+E33</f>
        <v>543923.66686817526</v>
      </c>
      <c r="F261" s="837"/>
      <c r="G261" s="625" t="s">
        <v>1671</v>
      </c>
      <c r="H261" s="4">
        <f t="shared" si="30"/>
        <v>9</v>
      </c>
      <c r="I261" s="357"/>
      <c r="K261"/>
      <c r="L261"/>
      <c r="M261"/>
      <c r="N261"/>
    </row>
    <row r="262" spans="1:14" x14ac:dyDescent="0.25">
      <c r="A262" s="4">
        <f t="shared" si="29"/>
        <v>10</v>
      </c>
      <c r="B262" s="603" t="s">
        <v>1627</v>
      </c>
      <c r="C262" s="837"/>
      <c r="D262" s="837"/>
      <c r="E262" s="1109">
        <f>E260-E261</f>
        <v>35202.106332392665</v>
      </c>
      <c r="F262" s="1102"/>
      <c r="G262" s="625" t="s">
        <v>1629</v>
      </c>
      <c r="H262" s="4">
        <f t="shared" si="30"/>
        <v>10</v>
      </c>
      <c r="I262" s="357"/>
      <c r="K262"/>
      <c r="L262"/>
      <c r="M262"/>
      <c r="N262"/>
    </row>
    <row r="263" spans="1:14" x14ac:dyDescent="0.25">
      <c r="A263" s="4">
        <f t="shared" si="29"/>
        <v>11</v>
      </c>
      <c r="B263" s="899"/>
      <c r="C263" s="1095"/>
      <c r="D263" s="1095"/>
      <c r="E263" s="1103"/>
      <c r="F263" s="1097"/>
      <c r="G263" s="1096"/>
      <c r="H263" s="4">
        <f t="shared" si="30"/>
        <v>11</v>
      </c>
      <c r="I263" s="357"/>
      <c r="K263"/>
      <c r="L263"/>
      <c r="M263"/>
      <c r="N263"/>
    </row>
    <row r="264" spans="1:14" ht="18.75" x14ac:dyDescent="0.25">
      <c r="A264" s="4">
        <f t="shared" si="29"/>
        <v>12</v>
      </c>
      <c r="B264" s="31" t="s">
        <v>155</v>
      </c>
      <c r="E264" s="10">
        <f>E41+E66</f>
        <v>1134066.8329660275</v>
      </c>
      <c r="F264" s="217"/>
      <c r="G264" s="4" t="s">
        <v>1905</v>
      </c>
      <c r="H264" s="4">
        <f t="shared" si="30"/>
        <v>12</v>
      </c>
      <c r="I264" s="357"/>
      <c r="K264"/>
      <c r="L264"/>
      <c r="M264"/>
      <c r="N264"/>
    </row>
    <row r="265" spans="1:14" x14ac:dyDescent="0.25">
      <c r="A265" s="4">
        <f t="shared" si="29"/>
        <v>13</v>
      </c>
      <c r="B265" s="31" t="s">
        <v>1840</v>
      </c>
      <c r="E265" s="8">
        <f>(-E11)*0.6</f>
        <v>-61189.985718434691</v>
      </c>
      <c r="F265" s="41"/>
      <c r="G265" s="4" t="s">
        <v>1825</v>
      </c>
      <c r="H265" s="4">
        <f t="shared" si="30"/>
        <v>13</v>
      </c>
      <c r="I265" s="357"/>
      <c r="K265"/>
      <c r="L265"/>
      <c r="M265"/>
      <c r="N265"/>
    </row>
    <row r="266" spans="1:14" x14ac:dyDescent="0.25">
      <c r="A266" s="4">
        <f t="shared" si="29"/>
        <v>14</v>
      </c>
      <c r="B266" s="31" t="s">
        <v>1841</v>
      </c>
      <c r="E266" s="8">
        <f>(-E13*0.6)</f>
        <v>-65510.021426279171</v>
      </c>
      <c r="F266" s="4"/>
      <c r="G266" s="4" t="s">
        <v>1826</v>
      </c>
      <c r="H266" s="4">
        <f t="shared" si="30"/>
        <v>14</v>
      </c>
      <c r="I266" s="357"/>
      <c r="K266"/>
      <c r="L266"/>
      <c r="M266"/>
      <c r="N266"/>
    </row>
    <row r="267" spans="1:14" x14ac:dyDescent="0.25">
      <c r="A267" s="4">
        <f t="shared" si="29"/>
        <v>15</v>
      </c>
      <c r="B267" s="32" t="s">
        <v>12</v>
      </c>
      <c r="E267" s="8">
        <f>-E15</f>
        <v>0</v>
      </c>
      <c r="G267" s="4" t="s">
        <v>141</v>
      </c>
      <c r="H267" s="4">
        <f t="shared" si="30"/>
        <v>15</v>
      </c>
      <c r="I267" s="357"/>
      <c r="K267"/>
      <c r="L267"/>
      <c r="M267"/>
      <c r="N267"/>
    </row>
    <row r="268" spans="1:14" x14ac:dyDescent="0.25">
      <c r="A268" s="4">
        <f t="shared" si="29"/>
        <v>16</v>
      </c>
      <c r="B268" s="31" t="s">
        <v>25</v>
      </c>
      <c r="E268" s="8">
        <f>-E35</f>
        <v>-1304.0991895338727</v>
      </c>
      <c r="G268" s="4" t="s">
        <v>1687</v>
      </c>
      <c r="H268" s="4">
        <f t="shared" si="30"/>
        <v>16</v>
      </c>
      <c r="I268" s="357"/>
      <c r="J268" s="32"/>
      <c r="K268"/>
      <c r="L268"/>
      <c r="M268"/>
      <c r="N268"/>
    </row>
    <row r="269" spans="1:14" x14ac:dyDescent="0.25">
      <c r="A269" s="4">
        <f t="shared" si="29"/>
        <v>17</v>
      </c>
      <c r="B269" s="248" t="s">
        <v>31</v>
      </c>
      <c r="E269" s="11">
        <f>-E39</f>
        <v>0</v>
      </c>
      <c r="G269" s="4" t="s">
        <v>1904</v>
      </c>
      <c r="H269" s="4">
        <f t="shared" si="30"/>
        <v>17</v>
      </c>
      <c r="I269" s="357"/>
      <c r="K269"/>
      <c r="L269"/>
      <c r="M269"/>
      <c r="N269"/>
    </row>
    <row r="270" spans="1:14" x14ac:dyDescent="0.25">
      <c r="A270" s="4">
        <f t="shared" si="29"/>
        <v>18</v>
      </c>
      <c r="B270" s="603" t="s">
        <v>1627</v>
      </c>
      <c r="E270" s="9">
        <f>E262</f>
        <v>35202.106332392665</v>
      </c>
      <c r="G270" s="1104" t="s">
        <v>1630</v>
      </c>
      <c r="H270" s="4">
        <f t="shared" si="30"/>
        <v>18</v>
      </c>
      <c r="I270" s="357"/>
      <c r="K270"/>
      <c r="L270"/>
      <c r="M270"/>
      <c r="N270"/>
    </row>
    <row r="271" spans="1:14" ht="18.75" x14ac:dyDescent="0.25">
      <c r="A271" s="4">
        <f t="shared" si="29"/>
        <v>19</v>
      </c>
      <c r="B271" s="31" t="s">
        <v>156</v>
      </c>
      <c r="E271" s="910">
        <f>SUM(E264:E270)</f>
        <v>1041264.8329641725</v>
      </c>
      <c r="F271" s="217"/>
      <c r="G271" s="4" t="s">
        <v>1631</v>
      </c>
      <c r="H271" s="4">
        <f t="shared" si="30"/>
        <v>19</v>
      </c>
      <c r="I271" s="357"/>
      <c r="K271"/>
      <c r="L271"/>
      <c r="M271"/>
      <c r="N271"/>
    </row>
    <row r="272" spans="1:14" x14ac:dyDescent="0.25">
      <c r="A272" s="4">
        <f t="shared" si="29"/>
        <v>20</v>
      </c>
      <c r="E272" s="27"/>
      <c r="G272" s="4"/>
      <c r="H272" s="4">
        <f t="shared" si="30"/>
        <v>20</v>
      </c>
      <c r="I272" s="357"/>
      <c r="K272"/>
      <c r="L272"/>
      <c r="M272"/>
      <c r="N272"/>
    </row>
    <row r="273" spans="1:14" x14ac:dyDescent="0.25">
      <c r="A273" s="4">
        <f t="shared" si="29"/>
        <v>21</v>
      </c>
      <c r="B273" s="32" t="s">
        <v>157</v>
      </c>
      <c r="E273" s="1176">
        <f>+E186+E191</f>
        <v>6748171.8880720343</v>
      </c>
      <c r="F273" s="71"/>
      <c r="G273" s="4" t="s">
        <v>158</v>
      </c>
      <c r="H273" s="4">
        <f t="shared" si="30"/>
        <v>21</v>
      </c>
      <c r="I273" s="357"/>
      <c r="K273"/>
      <c r="L273"/>
      <c r="M273"/>
      <c r="N273"/>
    </row>
    <row r="274" spans="1:14" x14ac:dyDescent="0.25">
      <c r="A274" s="4">
        <f t="shared" si="29"/>
        <v>22</v>
      </c>
      <c r="E274" s="13"/>
      <c r="G274" s="4"/>
      <c r="H274" s="4">
        <f t="shared" si="30"/>
        <v>22</v>
      </c>
      <c r="I274" s="357"/>
      <c r="K274"/>
      <c r="L274"/>
      <c r="M274"/>
      <c r="N274"/>
    </row>
    <row r="275" spans="1:14" ht="18.75" x14ac:dyDescent="0.25">
      <c r="A275" s="4">
        <f t="shared" si="29"/>
        <v>23</v>
      </c>
      <c r="B275" s="31" t="s">
        <v>1645</v>
      </c>
      <c r="E275" s="26">
        <f>IFERROR(E271/E273,0)</f>
        <v>0.15430324689931155</v>
      </c>
      <c r="F275" s="217"/>
      <c r="G275" s="4" t="s">
        <v>1632</v>
      </c>
      <c r="H275" s="4">
        <f t="shared" si="30"/>
        <v>23</v>
      </c>
      <c r="I275" s="357"/>
      <c r="K275"/>
      <c r="L275"/>
      <c r="M275"/>
      <c r="N275"/>
    </row>
    <row r="276" spans="1:14" x14ac:dyDescent="0.25">
      <c r="A276" s="4">
        <f t="shared" si="29"/>
        <v>24</v>
      </c>
      <c r="E276" s="27"/>
      <c r="G276" s="4"/>
      <c r="H276" s="4">
        <f t="shared" si="30"/>
        <v>24</v>
      </c>
      <c r="I276" s="357"/>
      <c r="K276"/>
      <c r="L276"/>
      <c r="M276"/>
      <c r="N276"/>
    </row>
    <row r="277" spans="1:14" ht="31.5" x14ac:dyDescent="0.25">
      <c r="A277" s="4">
        <f t="shared" si="29"/>
        <v>25</v>
      </c>
      <c r="B277" s="31" t="s">
        <v>159</v>
      </c>
      <c r="E277" s="912">
        <f>'Summary of HV-LV Splits'!I18</f>
        <v>0</v>
      </c>
      <c r="G277" s="90" t="s">
        <v>160</v>
      </c>
      <c r="H277" s="4">
        <f t="shared" si="30"/>
        <v>25</v>
      </c>
      <c r="I277" s="357"/>
      <c r="K277"/>
      <c r="L277"/>
      <c r="M277"/>
      <c r="N277"/>
    </row>
    <row r="278" spans="1:14" x14ac:dyDescent="0.25">
      <c r="A278" s="4">
        <f t="shared" si="29"/>
        <v>26</v>
      </c>
      <c r="E278" s="35"/>
      <c r="G278" s="90"/>
      <c r="H278" s="4">
        <f t="shared" si="30"/>
        <v>26</v>
      </c>
      <c r="I278" s="357"/>
      <c r="K278"/>
      <c r="L278"/>
      <c r="M278"/>
      <c r="N278"/>
    </row>
    <row r="279" spans="1:14" x14ac:dyDescent="0.25">
      <c r="A279" s="4">
        <f t="shared" si="29"/>
        <v>27</v>
      </c>
      <c r="B279" s="31" t="s">
        <v>148</v>
      </c>
      <c r="E279" s="915">
        <f>E234</f>
        <v>2.877E-2</v>
      </c>
      <c r="G279" s="90" t="s">
        <v>1635</v>
      </c>
      <c r="H279" s="4">
        <f t="shared" si="30"/>
        <v>27</v>
      </c>
      <c r="I279" s="357"/>
      <c r="K279"/>
      <c r="L279"/>
      <c r="M279"/>
      <c r="N279"/>
    </row>
    <row r="280" spans="1:14" x14ac:dyDescent="0.25">
      <c r="A280" s="4">
        <f t="shared" si="29"/>
        <v>28</v>
      </c>
      <c r="B280" s="31" t="s">
        <v>149</v>
      </c>
      <c r="E280" s="1110">
        <f>E277*E279</f>
        <v>0</v>
      </c>
      <c r="G280" s="90" t="s">
        <v>1523</v>
      </c>
      <c r="H280" s="4">
        <f t="shared" si="30"/>
        <v>28</v>
      </c>
      <c r="I280" s="357"/>
      <c r="K280"/>
      <c r="L280"/>
      <c r="M280"/>
      <c r="N280"/>
    </row>
    <row r="281" spans="1:14" x14ac:dyDescent="0.25">
      <c r="A281" s="4">
        <f t="shared" si="29"/>
        <v>29</v>
      </c>
      <c r="E281" s="35"/>
      <c r="G281" s="601" t="s">
        <v>150</v>
      </c>
      <c r="H281" s="4">
        <f t="shared" si="30"/>
        <v>29</v>
      </c>
      <c r="I281" s="357"/>
      <c r="K281"/>
      <c r="L281"/>
      <c r="M281"/>
      <c r="N281"/>
    </row>
    <row r="282" spans="1:14" x14ac:dyDescent="0.25">
      <c r="A282" s="4">
        <f t="shared" si="29"/>
        <v>30</v>
      </c>
      <c r="B282" s="31" t="s">
        <v>151</v>
      </c>
      <c r="E282" s="914">
        <f>E277-E280</f>
        <v>0</v>
      </c>
      <c r="G282" s="90" t="s">
        <v>1633</v>
      </c>
      <c r="H282" s="4">
        <f t="shared" si="30"/>
        <v>30</v>
      </c>
      <c r="I282" s="357"/>
      <c r="K282"/>
      <c r="L282"/>
      <c r="M282"/>
      <c r="N282"/>
    </row>
    <row r="283" spans="1:14" x14ac:dyDescent="0.25">
      <c r="A283" s="4">
        <f t="shared" si="29"/>
        <v>31</v>
      </c>
      <c r="B283" s="250"/>
      <c r="E283" s="27"/>
      <c r="G283" s="4"/>
      <c r="H283" s="4">
        <f t="shared" si="30"/>
        <v>31</v>
      </c>
      <c r="I283" s="357"/>
      <c r="K283"/>
      <c r="L283"/>
      <c r="M283"/>
      <c r="N283"/>
    </row>
    <row r="284" spans="1:14" ht="19.5" thickBot="1" x14ac:dyDescent="0.3">
      <c r="A284" s="4">
        <f t="shared" si="29"/>
        <v>32</v>
      </c>
      <c r="B284" s="31" t="s">
        <v>161</v>
      </c>
      <c r="E284" s="24">
        <f>E275*E282</f>
        <v>0</v>
      </c>
      <c r="G284" s="4" t="s">
        <v>1634</v>
      </c>
      <c r="H284" s="4">
        <f t="shared" si="30"/>
        <v>32</v>
      </c>
      <c r="I284" s="357"/>
      <c r="K284"/>
      <c r="L284"/>
      <c r="M284"/>
      <c r="N284"/>
    </row>
    <row r="285" spans="1:14" ht="16.5" thickTop="1" x14ac:dyDescent="0.25">
      <c r="A285" s="4">
        <f t="shared" si="29"/>
        <v>33</v>
      </c>
      <c r="E285" s="10"/>
      <c r="G285" s="4"/>
      <c r="H285" s="4">
        <f t="shared" si="30"/>
        <v>33</v>
      </c>
      <c r="I285" s="357"/>
      <c r="J285" s="35"/>
      <c r="K285"/>
      <c r="L285"/>
      <c r="M285"/>
      <c r="N285"/>
    </row>
    <row r="286" spans="1:14" x14ac:dyDescent="0.25">
      <c r="A286" s="4">
        <f t="shared" si="29"/>
        <v>34</v>
      </c>
      <c r="B286" s="33" t="s">
        <v>162</v>
      </c>
      <c r="E286" s="10"/>
      <c r="G286" s="4"/>
      <c r="H286" s="4">
        <f t="shared" si="30"/>
        <v>34</v>
      </c>
      <c r="I286" s="357"/>
      <c r="J286" s="35"/>
      <c r="K286"/>
      <c r="L286"/>
      <c r="M286"/>
      <c r="N286"/>
    </row>
    <row r="287" spans="1:14" ht="31.5" x14ac:dyDescent="0.25">
      <c r="A287" s="4">
        <f t="shared" si="29"/>
        <v>35</v>
      </c>
      <c r="B287" s="31" t="s">
        <v>163</v>
      </c>
      <c r="E287" s="28">
        <f>'Summary of HV-LV Splits'!I20+'Summary of HV-LV Splits'!I22</f>
        <v>0</v>
      </c>
      <c r="G287" s="90" t="s">
        <v>164</v>
      </c>
      <c r="H287" s="4">
        <f t="shared" si="30"/>
        <v>35</v>
      </c>
      <c r="I287" s="357"/>
      <c r="K287"/>
      <c r="L287"/>
      <c r="M287"/>
      <c r="N287"/>
    </row>
    <row r="288" spans="1:14" x14ac:dyDescent="0.25">
      <c r="A288" s="4">
        <f t="shared" si="29"/>
        <v>36</v>
      </c>
      <c r="E288" s="35"/>
      <c r="G288" s="90"/>
      <c r="H288" s="4">
        <f t="shared" si="30"/>
        <v>36</v>
      </c>
      <c r="I288" s="357"/>
      <c r="K288"/>
      <c r="L288"/>
      <c r="M288"/>
      <c r="N288"/>
    </row>
    <row r="289" spans="1:14" ht="18.75" x14ac:dyDescent="0.25">
      <c r="A289" s="4">
        <f t="shared" si="29"/>
        <v>37</v>
      </c>
      <c r="B289" s="31" t="s">
        <v>1644</v>
      </c>
      <c r="E289" s="867">
        <f>IFERROR('Stmt AV'!F143,0)</f>
        <v>9.6242072833420123E-2</v>
      </c>
      <c r="F289" s="217"/>
      <c r="G289" s="4" t="s">
        <v>1665</v>
      </c>
      <c r="H289" s="4">
        <f t="shared" si="30"/>
        <v>37</v>
      </c>
      <c r="I289" s="357"/>
      <c r="J289" s="35"/>
      <c r="K289"/>
      <c r="L289"/>
      <c r="M289"/>
      <c r="N289"/>
    </row>
    <row r="290" spans="1:14" x14ac:dyDescent="0.25">
      <c r="A290" s="4">
        <f t="shared" si="29"/>
        <v>38</v>
      </c>
      <c r="E290" s="10"/>
      <c r="G290" s="4"/>
      <c r="H290" s="4">
        <f t="shared" si="30"/>
        <v>38</v>
      </c>
      <c r="I290" s="357"/>
      <c r="J290" s="35"/>
      <c r="K290"/>
      <c r="L290"/>
      <c r="M290"/>
      <c r="N290"/>
    </row>
    <row r="291" spans="1:14" ht="16.5" thickBot="1" x14ac:dyDescent="0.3">
      <c r="A291" s="4">
        <f t="shared" si="29"/>
        <v>39</v>
      </c>
      <c r="B291" s="31" t="s">
        <v>1516</v>
      </c>
      <c r="E291" s="24">
        <f>E287*E289</f>
        <v>0</v>
      </c>
      <c r="G291" s="4" t="s">
        <v>1636</v>
      </c>
      <c r="H291" s="4">
        <f t="shared" si="30"/>
        <v>39</v>
      </c>
      <c r="I291" s="357"/>
      <c r="J291" s="35"/>
      <c r="K291"/>
      <c r="L291"/>
      <c r="M291"/>
      <c r="N291"/>
    </row>
    <row r="292" spans="1:14" ht="16.5" thickTop="1" x14ac:dyDescent="0.25">
      <c r="A292" s="4">
        <f t="shared" si="29"/>
        <v>40</v>
      </c>
      <c r="E292" s="10"/>
      <c r="G292" s="4"/>
      <c r="H292" s="4">
        <f t="shared" si="30"/>
        <v>40</v>
      </c>
      <c r="I292" s="357"/>
      <c r="J292" s="35"/>
      <c r="K292"/>
      <c r="L292"/>
      <c r="M292"/>
      <c r="N292"/>
    </row>
    <row r="293" spans="1:14" ht="31.5" x14ac:dyDescent="0.25">
      <c r="A293" s="4">
        <f t="shared" si="29"/>
        <v>41</v>
      </c>
      <c r="B293" s="31" t="s">
        <v>163</v>
      </c>
      <c r="E293" s="28">
        <f>'Summary of HV-LV Splits'!I20+'Summary of HV-LV Splits'!I22</f>
        <v>0</v>
      </c>
      <c r="G293" s="90" t="s">
        <v>164</v>
      </c>
      <c r="H293" s="4">
        <f t="shared" si="30"/>
        <v>41</v>
      </c>
      <c r="I293" s="357"/>
      <c r="J293" s="35"/>
      <c r="K293"/>
      <c r="L293"/>
      <c r="M293"/>
      <c r="N293"/>
    </row>
    <row r="294" spans="1:14" x14ac:dyDescent="0.25">
      <c r="A294" s="4">
        <f t="shared" si="29"/>
        <v>42</v>
      </c>
      <c r="E294" s="10"/>
      <c r="G294" s="4"/>
      <c r="H294" s="4">
        <f t="shared" si="30"/>
        <v>42</v>
      </c>
      <c r="I294" s="357"/>
      <c r="J294" s="35"/>
      <c r="K294"/>
      <c r="L294"/>
      <c r="M294"/>
      <c r="N294"/>
    </row>
    <row r="295" spans="1:14" ht="18.75" x14ac:dyDescent="0.25">
      <c r="A295" s="4">
        <f t="shared" si="29"/>
        <v>43</v>
      </c>
      <c r="B295" s="31" t="s">
        <v>1581</v>
      </c>
      <c r="E295" s="1146">
        <f>IFERROR('Stmt AV'!F183,0)</f>
        <v>0</v>
      </c>
      <c r="G295" s="4" t="s">
        <v>1667</v>
      </c>
      <c r="H295" s="4">
        <f t="shared" si="30"/>
        <v>43</v>
      </c>
      <c r="I295" s="357"/>
      <c r="J295" s="35"/>
      <c r="K295"/>
      <c r="L295"/>
      <c r="M295"/>
      <c r="N295"/>
    </row>
    <row r="296" spans="1:14" x14ac:dyDescent="0.25">
      <c r="A296" s="4">
        <f t="shared" si="29"/>
        <v>44</v>
      </c>
      <c r="E296" s="10"/>
      <c r="G296" s="4"/>
      <c r="H296" s="4">
        <f t="shared" si="30"/>
        <v>44</v>
      </c>
      <c r="I296" s="357"/>
      <c r="J296" s="35"/>
      <c r="K296"/>
      <c r="L296"/>
      <c r="M296"/>
      <c r="N296"/>
    </row>
    <row r="297" spans="1:14" ht="16.5" thickBot="1" x14ac:dyDescent="0.3">
      <c r="A297" s="4">
        <f t="shared" si="29"/>
        <v>45</v>
      </c>
      <c r="B297" s="31" t="s">
        <v>1673</v>
      </c>
      <c r="E297" s="24">
        <f>E293*E295</f>
        <v>0</v>
      </c>
      <c r="G297" s="4" t="s">
        <v>1675</v>
      </c>
      <c r="H297" s="4">
        <f t="shared" si="30"/>
        <v>45</v>
      </c>
      <c r="I297" s="357"/>
      <c r="J297" s="35"/>
      <c r="K297"/>
      <c r="L297"/>
      <c r="M297"/>
      <c r="N297"/>
    </row>
    <row r="298" spans="1:14" ht="16.5" thickTop="1" x14ac:dyDescent="0.25">
      <c r="A298" s="4">
        <f t="shared" si="29"/>
        <v>46</v>
      </c>
      <c r="E298" s="10"/>
      <c r="G298" s="4"/>
      <c r="H298" s="4">
        <f t="shared" si="30"/>
        <v>46</v>
      </c>
      <c r="J298" s="35"/>
      <c r="K298"/>
      <c r="L298"/>
      <c r="M298"/>
      <c r="N298"/>
    </row>
    <row r="299" spans="1:14" ht="16.5" thickBot="1" x14ac:dyDescent="0.3">
      <c r="A299" s="4">
        <f t="shared" si="29"/>
        <v>47</v>
      </c>
      <c r="B299" s="31" t="s">
        <v>1674</v>
      </c>
      <c r="E299" s="24">
        <f>E291+E297</f>
        <v>0</v>
      </c>
      <c r="G299" s="4" t="s">
        <v>1676</v>
      </c>
      <c r="H299" s="4">
        <f t="shared" si="30"/>
        <v>47</v>
      </c>
      <c r="J299" s="35"/>
      <c r="K299"/>
      <c r="L299"/>
      <c r="M299"/>
      <c r="N299"/>
    </row>
    <row r="300" spans="1:14" ht="16.5" thickTop="1" x14ac:dyDescent="0.25">
      <c r="A300" s="4"/>
      <c r="E300" s="10"/>
      <c r="G300" s="4"/>
      <c r="J300" s="35"/>
      <c r="K300"/>
      <c r="L300"/>
      <c r="M300"/>
      <c r="N300"/>
    </row>
    <row r="301" spans="1:14" x14ac:dyDescent="0.25">
      <c r="A301" s="4"/>
      <c r="E301" s="10"/>
      <c r="G301" s="4"/>
      <c r="J301" s="35"/>
      <c r="K301"/>
      <c r="L301"/>
      <c r="M301"/>
      <c r="N301"/>
    </row>
    <row r="302" spans="1:14" ht="18.75" x14ac:dyDescent="0.25">
      <c r="A302" s="265">
        <v>1</v>
      </c>
      <c r="B302" s="31" t="s">
        <v>1672</v>
      </c>
      <c r="E302" s="10"/>
      <c r="G302" s="4"/>
      <c r="J302" s="35"/>
      <c r="K302"/>
      <c r="L302"/>
      <c r="M302"/>
      <c r="N302"/>
    </row>
    <row r="303" spans="1:14" ht="18.75" x14ac:dyDescent="0.25">
      <c r="A303" s="252">
        <v>2</v>
      </c>
      <c r="B303" s="31" t="s">
        <v>165</v>
      </c>
      <c r="E303" s="10"/>
      <c r="G303" s="4"/>
      <c r="J303" s="35"/>
      <c r="K303"/>
      <c r="L303"/>
      <c r="M303"/>
      <c r="N303"/>
    </row>
    <row r="304" spans="1:14" x14ac:dyDescent="0.25">
      <c r="A304" s="4"/>
      <c r="E304" s="10"/>
      <c r="G304" s="4"/>
      <c r="J304" s="35"/>
      <c r="K304"/>
      <c r="L304"/>
      <c r="M304"/>
      <c r="N304"/>
    </row>
    <row r="305" spans="1:14" x14ac:dyDescent="0.25">
      <c r="A305" s="4"/>
      <c r="E305" s="10"/>
      <c r="G305" s="4"/>
      <c r="J305" s="35"/>
      <c r="K305"/>
      <c r="L305"/>
      <c r="M305"/>
      <c r="N305"/>
    </row>
    <row r="306" spans="1:14" x14ac:dyDescent="0.25">
      <c r="A306" s="4"/>
      <c r="B306" s="1316" t="s">
        <v>0</v>
      </c>
      <c r="C306" s="1313"/>
      <c r="D306" s="1313"/>
      <c r="E306" s="1313"/>
      <c r="F306" s="1313"/>
      <c r="G306" s="1313"/>
      <c r="J306" s="35"/>
      <c r="K306"/>
      <c r="L306"/>
      <c r="M306"/>
      <c r="N306"/>
    </row>
    <row r="307" spans="1:14" x14ac:dyDescent="0.25">
      <c r="A307" s="4"/>
      <c r="B307" s="1316" t="s">
        <v>2</v>
      </c>
      <c r="C307" s="1313"/>
      <c r="D307" s="1313"/>
      <c r="E307" s="1313"/>
      <c r="F307" s="1313"/>
      <c r="G307" s="1313"/>
      <c r="J307" s="35"/>
      <c r="K307"/>
      <c r="L307"/>
      <c r="M307"/>
      <c r="N307"/>
    </row>
    <row r="308" spans="1:14" ht="17.25" x14ac:dyDescent="0.25">
      <c r="A308" s="4"/>
      <c r="B308" s="1316" t="s">
        <v>2001</v>
      </c>
      <c r="C308" s="1317"/>
      <c r="D308" s="1317"/>
      <c r="E308" s="1317"/>
      <c r="F308" s="1317"/>
      <c r="G308" s="1317"/>
      <c r="J308" s="35"/>
      <c r="K308"/>
      <c r="L308"/>
      <c r="M308"/>
      <c r="N308"/>
    </row>
    <row r="309" spans="1:14" x14ac:dyDescent="0.25">
      <c r="A309" s="4"/>
      <c r="B309" s="1314" t="s">
        <v>2123</v>
      </c>
      <c r="C309" s="1320"/>
      <c r="D309" s="1320"/>
      <c r="E309" s="1320"/>
      <c r="F309" s="1320"/>
      <c r="G309" s="1320"/>
      <c r="K309"/>
      <c r="L309"/>
      <c r="M309"/>
      <c r="N309"/>
    </row>
    <row r="310" spans="1:14" x14ac:dyDescent="0.25">
      <c r="A310" s="4"/>
      <c r="B310" s="1312" t="s">
        <v>4</v>
      </c>
      <c r="C310" s="1313"/>
      <c r="D310" s="1313"/>
      <c r="E310" s="1313"/>
      <c r="F310" s="1313"/>
      <c r="G310" s="1313"/>
      <c r="K310"/>
      <c r="L310"/>
      <c r="M310"/>
      <c r="N310"/>
    </row>
    <row r="311" spans="1:14" x14ac:dyDescent="0.25">
      <c r="A311" s="4"/>
      <c r="B311" s="34"/>
      <c r="J311" s="35"/>
      <c r="K311"/>
      <c r="L311"/>
      <c r="M311"/>
      <c r="N311"/>
    </row>
    <row r="312" spans="1:14" x14ac:dyDescent="0.25">
      <c r="A312" s="4" t="s">
        <v>5</v>
      </c>
      <c r="E312" s="25"/>
      <c r="G312" s="4"/>
      <c r="H312" s="4" t="s">
        <v>5</v>
      </c>
      <c r="J312" s="35"/>
      <c r="K312"/>
      <c r="L312"/>
      <c r="M312"/>
      <c r="N312"/>
    </row>
    <row r="313" spans="1:14" x14ac:dyDescent="0.25">
      <c r="A313" s="4" t="s">
        <v>6</v>
      </c>
      <c r="B313" s="1" t="s">
        <v>1</v>
      </c>
      <c r="E313" s="907" t="s">
        <v>7</v>
      </c>
      <c r="G313" s="848" t="s">
        <v>8</v>
      </c>
      <c r="H313" s="4" t="s">
        <v>6</v>
      </c>
      <c r="J313" s="35"/>
      <c r="K313"/>
      <c r="L313"/>
      <c r="M313"/>
      <c r="N313"/>
    </row>
    <row r="314" spans="1:14" x14ac:dyDescent="0.25">
      <c r="A314" s="4"/>
      <c r="E314" s="260"/>
      <c r="G314" s="217"/>
      <c r="J314" s="35"/>
      <c r="K314"/>
      <c r="L314"/>
      <c r="M314"/>
      <c r="N314"/>
    </row>
    <row r="315" spans="1:14" ht="17.25" x14ac:dyDescent="0.25">
      <c r="A315" s="4"/>
      <c r="B315" s="33" t="s">
        <v>2002</v>
      </c>
      <c r="G315" s="4"/>
      <c r="J315" s="35"/>
      <c r="K315"/>
      <c r="L315"/>
      <c r="M315"/>
      <c r="N315"/>
    </row>
    <row r="316" spans="1:14" x14ac:dyDescent="0.25">
      <c r="A316" s="4">
        <v>1</v>
      </c>
      <c r="B316" s="33"/>
      <c r="G316" s="4"/>
      <c r="H316" s="4">
        <f>A316</f>
        <v>1</v>
      </c>
      <c r="J316" s="35"/>
      <c r="K316"/>
      <c r="L316"/>
      <c r="M316"/>
      <c r="N316"/>
    </row>
    <row r="317" spans="1:14" ht="18.75" x14ac:dyDescent="0.25">
      <c r="A317" s="4">
        <f t="shared" ref="A317:A340" si="31">A316+1</f>
        <v>2</v>
      </c>
      <c r="B317" s="31" t="s">
        <v>2003</v>
      </c>
      <c r="C317" s="31" t="s">
        <v>1</v>
      </c>
      <c r="E317" s="7">
        <f>E41</f>
        <v>1134066.8329660275</v>
      </c>
      <c r="F317" s="217"/>
      <c r="G317" s="4" t="s">
        <v>1873</v>
      </c>
      <c r="H317" s="4">
        <f t="shared" ref="H317:H337" si="32">H316+1</f>
        <v>2</v>
      </c>
      <c r="J317" s="35"/>
      <c r="K317"/>
      <c r="L317"/>
      <c r="M317"/>
      <c r="N317"/>
    </row>
    <row r="318" spans="1:14" x14ac:dyDescent="0.25">
      <c r="A318" s="4">
        <f t="shared" si="31"/>
        <v>3</v>
      </c>
      <c r="E318" s="29"/>
      <c r="G318" s="4"/>
      <c r="H318" s="4">
        <f t="shared" si="32"/>
        <v>3</v>
      </c>
      <c r="K318"/>
      <c r="L318"/>
      <c r="M318"/>
      <c r="N318"/>
    </row>
    <row r="319" spans="1:14" ht="18.75" x14ac:dyDescent="0.25">
      <c r="A319" s="4">
        <f t="shared" si="31"/>
        <v>4</v>
      </c>
      <c r="B319" s="31" t="s">
        <v>2004</v>
      </c>
      <c r="E319" s="9">
        <f>E92</f>
        <v>0</v>
      </c>
      <c r="G319" s="4" t="s">
        <v>1680</v>
      </c>
      <c r="H319" s="4">
        <f t="shared" si="32"/>
        <v>4</v>
      </c>
      <c r="K319"/>
      <c r="L319"/>
      <c r="M319"/>
      <c r="N319"/>
    </row>
    <row r="320" spans="1:14" x14ac:dyDescent="0.25">
      <c r="A320" s="4">
        <f t="shared" si="31"/>
        <v>5</v>
      </c>
      <c r="E320" s="8"/>
      <c r="G320" s="4"/>
      <c r="H320" s="4">
        <f t="shared" si="32"/>
        <v>5</v>
      </c>
      <c r="K320"/>
      <c r="L320"/>
      <c r="M320"/>
      <c r="N320"/>
    </row>
    <row r="321" spans="1:14" x14ac:dyDescent="0.25">
      <c r="A321" s="4">
        <f t="shared" si="31"/>
        <v>6</v>
      </c>
      <c r="B321" s="31" t="s">
        <v>2005</v>
      </c>
      <c r="C321" s="449"/>
      <c r="E321" s="9">
        <f>'TO5 True-Up'!M34+'TO6 True-Up'!M34</f>
        <v>56582.738469348194</v>
      </c>
      <c r="F321" s="217"/>
      <c r="G321" s="4" t="s">
        <v>1874</v>
      </c>
      <c r="H321" s="4">
        <f t="shared" si="32"/>
        <v>6</v>
      </c>
      <c r="K321"/>
      <c r="L321"/>
      <c r="M321"/>
      <c r="N321"/>
    </row>
    <row r="322" spans="1:14" x14ac:dyDescent="0.25">
      <c r="A322" s="4">
        <f t="shared" si="31"/>
        <v>7</v>
      </c>
      <c r="E322" s="6"/>
      <c r="G322" s="4"/>
      <c r="H322" s="4">
        <f t="shared" si="32"/>
        <v>7</v>
      </c>
      <c r="K322"/>
      <c r="L322"/>
      <c r="M322"/>
      <c r="N322"/>
    </row>
    <row r="323" spans="1:14" x14ac:dyDescent="0.25">
      <c r="A323" s="4">
        <f t="shared" si="31"/>
        <v>8</v>
      </c>
      <c r="B323" s="31" t="s">
        <v>2006</v>
      </c>
      <c r="E323" s="12">
        <f>'Interest TU CY'!D31</f>
        <v>13543.564686646709</v>
      </c>
      <c r="G323" s="4" t="s">
        <v>166</v>
      </c>
      <c r="H323" s="4">
        <f t="shared" si="32"/>
        <v>8</v>
      </c>
      <c r="K323"/>
      <c r="L323"/>
      <c r="M323"/>
      <c r="N323"/>
    </row>
    <row r="324" spans="1:14" x14ac:dyDescent="0.25">
      <c r="A324" s="4">
        <f t="shared" si="31"/>
        <v>9</v>
      </c>
      <c r="E324" s="6"/>
      <c r="G324" s="4"/>
      <c r="H324" s="4">
        <f t="shared" si="32"/>
        <v>9</v>
      </c>
      <c r="K324"/>
      <c r="L324"/>
      <c r="M324"/>
      <c r="N324"/>
    </row>
    <row r="325" spans="1:14" x14ac:dyDescent="0.25">
      <c r="A325" s="4">
        <f>A324+1</f>
        <v>10</v>
      </c>
      <c r="B325" s="31" t="s">
        <v>167</v>
      </c>
      <c r="E325" s="9">
        <f>E239</f>
        <v>122812.20725707484</v>
      </c>
      <c r="F325" s="217"/>
      <c r="G325" s="4" t="s">
        <v>1638</v>
      </c>
      <c r="H325" s="4">
        <f t="shared" si="32"/>
        <v>10</v>
      </c>
      <c r="K325"/>
      <c r="L325"/>
      <c r="M325"/>
      <c r="N325"/>
    </row>
    <row r="326" spans="1:14" x14ac:dyDescent="0.25">
      <c r="A326" s="4">
        <f t="shared" si="31"/>
        <v>11</v>
      </c>
      <c r="E326" s="6"/>
      <c r="G326" s="4"/>
      <c r="H326" s="4">
        <f t="shared" si="32"/>
        <v>11</v>
      </c>
      <c r="K326"/>
      <c r="L326"/>
      <c r="M326"/>
      <c r="N326"/>
    </row>
    <row r="327" spans="1:14" ht="18.75" x14ac:dyDescent="0.25">
      <c r="A327" s="4">
        <f t="shared" si="31"/>
        <v>12</v>
      </c>
      <c r="B327" s="31" t="s">
        <v>168</v>
      </c>
      <c r="E327" s="9">
        <f>E284</f>
        <v>0</v>
      </c>
      <c r="G327" s="4" t="s">
        <v>1639</v>
      </c>
      <c r="H327" s="4">
        <f t="shared" si="32"/>
        <v>12</v>
      </c>
      <c r="K327"/>
      <c r="L327"/>
      <c r="M327"/>
      <c r="N327"/>
    </row>
    <row r="328" spans="1:14" x14ac:dyDescent="0.25">
      <c r="A328" s="4">
        <f t="shared" si="31"/>
        <v>13</v>
      </c>
      <c r="E328" s="6"/>
      <c r="G328" s="4"/>
      <c r="H328" s="4">
        <f t="shared" si="32"/>
        <v>13</v>
      </c>
      <c r="K328"/>
      <c r="L328"/>
      <c r="M328"/>
      <c r="N328"/>
    </row>
    <row r="329" spans="1:14" x14ac:dyDescent="0.25">
      <c r="A329" s="4">
        <f t="shared" si="31"/>
        <v>14</v>
      </c>
      <c r="B329" s="31" t="s">
        <v>169</v>
      </c>
      <c r="E329" s="841">
        <f>E299</f>
        <v>0</v>
      </c>
      <c r="G329" s="4" t="s">
        <v>1681</v>
      </c>
      <c r="H329" s="4">
        <f t="shared" si="32"/>
        <v>14</v>
      </c>
      <c r="K329"/>
      <c r="L329"/>
      <c r="M329"/>
      <c r="N329"/>
    </row>
    <row r="330" spans="1:14" x14ac:dyDescent="0.25">
      <c r="A330" s="4">
        <f t="shared" si="31"/>
        <v>15</v>
      </c>
      <c r="E330" s="6"/>
      <c r="G330" s="4"/>
      <c r="H330" s="4">
        <f t="shared" si="32"/>
        <v>15</v>
      </c>
      <c r="K330"/>
      <c r="L330"/>
      <c r="M330"/>
      <c r="N330"/>
    </row>
    <row r="331" spans="1:14" ht="17.25" x14ac:dyDescent="0.25">
      <c r="A331" s="4">
        <f t="shared" si="31"/>
        <v>16</v>
      </c>
      <c r="B331" s="33" t="s">
        <v>170</v>
      </c>
      <c r="C331" s="35"/>
      <c r="E331" s="10">
        <f>E317+E319+E321+E323+E325+E327+E329</f>
        <v>1327005.3433790973</v>
      </c>
      <c r="F331" s="217"/>
      <c r="G331" s="4" t="s">
        <v>171</v>
      </c>
      <c r="H331" s="4">
        <f t="shared" si="32"/>
        <v>16</v>
      </c>
      <c r="K331"/>
      <c r="L331"/>
      <c r="M331"/>
      <c r="N331"/>
    </row>
    <row r="332" spans="1:14" x14ac:dyDescent="0.25">
      <c r="A332" s="4">
        <f t="shared" si="31"/>
        <v>17</v>
      </c>
      <c r="E332" s="6"/>
      <c r="G332" s="4"/>
      <c r="H332" s="4">
        <f t="shared" si="32"/>
        <v>17</v>
      </c>
      <c r="K332"/>
      <c r="L332"/>
      <c r="M332"/>
      <c r="N332"/>
    </row>
    <row r="333" spans="1:14" ht="18.75" x14ac:dyDescent="0.25">
      <c r="A333" s="4">
        <f t="shared" si="31"/>
        <v>18</v>
      </c>
      <c r="B333" s="32" t="s">
        <v>172</v>
      </c>
      <c r="C333" s="30">
        <v>1.0207000000000001E-2</v>
      </c>
      <c r="D333" s="252">
        <v>1</v>
      </c>
      <c r="E333" s="1112">
        <f>$E$331*C333</f>
        <v>13544.743539870447</v>
      </c>
      <c r="F333" s="217"/>
      <c r="G333" s="4" t="s">
        <v>173</v>
      </c>
      <c r="H333" s="4">
        <f t="shared" si="32"/>
        <v>18</v>
      </c>
      <c r="K333"/>
      <c r="L333"/>
      <c r="M333"/>
      <c r="N333"/>
    </row>
    <row r="334" spans="1:14" ht="18.75" x14ac:dyDescent="0.25">
      <c r="A334" s="4">
        <f t="shared" si="31"/>
        <v>19</v>
      </c>
      <c r="B334" s="32" t="s">
        <v>174</v>
      </c>
      <c r="C334" s="30">
        <v>5.5100000000000001E-3</v>
      </c>
      <c r="D334" s="252">
        <v>1</v>
      </c>
      <c r="E334" s="911">
        <f>$E$331*C334</f>
        <v>7311.7994420188261</v>
      </c>
      <c r="F334" s="217"/>
      <c r="G334" s="4" t="s">
        <v>175</v>
      </c>
      <c r="H334" s="4">
        <f t="shared" si="32"/>
        <v>19</v>
      </c>
      <c r="K334"/>
      <c r="L334"/>
      <c r="M334"/>
      <c r="N334"/>
    </row>
    <row r="335" spans="1:14" x14ac:dyDescent="0.25">
      <c r="A335" s="4">
        <f t="shared" si="31"/>
        <v>20</v>
      </c>
      <c r="E335" s="8"/>
      <c r="G335" s="4"/>
      <c r="H335" s="4">
        <f t="shared" si="32"/>
        <v>20</v>
      </c>
      <c r="J335" s="897"/>
      <c r="K335"/>
      <c r="L335"/>
      <c r="M335"/>
      <c r="N335"/>
    </row>
    <row r="336" spans="1:14" ht="17.25" x14ac:dyDescent="0.25">
      <c r="A336" s="4">
        <f t="shared" si="31"/>
        <v>21</v>
      </c>
      <c r="B336" s="33" t="s">
        <v>2007</v>
      </c>
      <c r="C336" s="35"/>
      <c r="E336" s="10">
        <f>SUM(E331:E334)</f>
        <v>1347861.8863609866</v>
      </c>
      <c r="F336" s="217"/>
      <c r="G336" s="4" t="s">
        <v>129</v>
      </c>
      <c r="H336" s="4">
        <f t="shared" si="32"/>
        <v>21</v>
      </c>
      <c r="J336" s="871"/>
      <c r="K336"/>
      <c r="L336"/>
      <c r="M336"/>
      <c r="N336"/>
    </row>
    <row r="337" spans="1:14" x14ac:dyDescent="0.25">
      <c r="A337" s="4">
        <f t="shared" si="31"/>
        <v>22</v>
      </c>
      <c r="B337" s="1"/>
      <c r="E337" s="251"/>
      <c r="G337" s="4"/>
      <c r="H337" s="4">
        <f t="shared" si="32"/>
        <v>22</v>
      </c>
      <c r="J337" s="871"/>
      <c r="K337"/>
      <c r="L337"/>
      <c r="M337"/>
      <c r="N337"/>
    </row>
    <row r="338" spans="1:14" ht="17.25" x14ac:dyDescent="0.25">
      <c r="A338" s="4">
        <f t="shared" si="31"/>
        <v>23</v>
      </c>
      <c r="B338" s="33" t="s">
        <v>176</v>
      </c>
      <c r="E338" s="1111">
        <v>6404.5998473479067</v>
      </c>
      <c r="G338" s="90" t="s">
        <v>177</v>
      </c>
      <c r="H338" s="4">
        <f t="shared" ref="H338" si="33">H337+1</f>
        <v>23</v>
      </c>
      <c r="I338" s="357"/>
      <c r="J338"/>
      <c r="K338"/>
      <c r="L338"/>
      <c r="M338"/>
      <c r="N338"/>
    </row>
    <row r="339" spans="1:14" x14ac:dyDescent="0.25">
      <c r="A339" s="4">
        <f t="shared" si="31"/>
        <v>24</v>
      </c>
      <c r="B339" s="31" t="s">
        <v>1</v>
      </c>
      <c r="H339" s="4">
        <f t="shared" ref="H339" si="34">H338+1</f>
        <v>24</v>
      </c>
      <c r="I339" s="357"/>
      <c r="J339" s="871"/>
      <c r="K339"/>
      <c r="L339"/>
      <c r="M339"/>
      <c r="N339"/>
    </row>
    <row r="340" spans="1:14" ht="18" thickBot="1" x14ac:dyDescent="0.3">
      <c r="A340" s="4">
        <f t="shared" si="31"/>
        <v>25</v>
      </c>
      <c r="B340" s="33" t="s">
        <v>2008</v>
      </c>
      <c r="E340" s="37">
        <f>E336+E338</f>
        <v>1354266.4862083346</v>
      </c>
      <c r="G340" s="4" t="s">
        <v>1875</v>
      </c>
      <c r="H340" s="4">
        <f t="shared" ref="H340" si="35">H339+1</f>
        <v>25</v>
      </c>
      <c r="I340" s="357"/>
      <c r="J340" s="871"/>
      <c r="K340"/>
      <c r="L340"/>
      <c r="M340"/>
      <c r="N340"/>
    </row>
    <row r="341" spans="1:14" ht="16.5" thickTop="1" x14ac:dyDescent="0.25"/>
    <row r="343" spans="1:14" ht="18.75" x14ac:dyDescent="0.25">
      <c r="A343" s="252">
        <v>1</v>
      </c>
      <c r="B343" s="31" t="s">
        <v>1839</v>
      </c>
    </row>
    <row r="345" spans="1:14" x14ac:dyDescent="0.25">
      <c r="B345" s="1" t="s">
        <v>1964</v>
      </c>
    </row>
    <row r="346" spans="1:14" ht="31.5" x14ac:dyDescent="0.25">
      <c r="B346" s="1271" t="s">
        <v>1965</v>
      </c>
    </row>
    <row r="347" spans="1:14" ht="31.5" x14ac:dyDescent="0.25">
      <c r="B347" s="1272" t="s">
        <v>1966</v>
      </c>
      <c r="E347" s="1194"/>
    </row>
    <row r="348" spans="1:14" x14ac:dyDescent="0.25">
      <c r="B348" s="1273" t="s">
        <v>1967</v>
      </c>
    </row>
    <row r="349" spans="1:14" ht="31.5" x14ac:dyDescent="0.25">
      <c r="B349" s="723" t="s">
        <v>1968</v>
      </c>
      <c r="E349" s="35"/>
    </row>
  </sheetData>
  <mergeCells count="35">
    <mergeCell ref="B103:G103"/>
    <mergeCell ref="B2:G2"/>
    <mergeCell ref="B3:G3"/>
    <mergeCell ref="B4:G4"/>
    <mergeCell ref="B5:G5"/>
    <mergeCell ref="B6:G6"/>
    <mergeCell ref="B47:G47"/>
    <mergeCell ref="B48:G48"/>
    <mergeCell ref="B49:G49"/>
    <mergeCell ref="B50:G50"/>
    <mergeCell ref="B51:G51"/>
    <mergeCell ref="B199:G199"/>
    <mergeCell ref="B104:G104"/>
    <mergeCell ref="B105:G105"/>
    <mergeCell ref="B106:G106"/>
    <mergeCell ref="B107:G107"/>
    <mergeCell ref="B158:G158"/>
    <mergeCell ref="B159:G159"/>
    <mergeCell ref="B160:G160"/>
    <mergeCell ref="B161:G161"/>
    <mergeCell ref="B162:G162"/>
    <mergeCell ref="B197:G197"/>
    <mergeCell ref="B198:G198"/>
    <mergeCell ref="B310:G310"/>
    <mergeCell ref="B200:G200"/>
    <mergeCell ref="B201:G201"/>
    <mergeCell ref="B242:G242"/>
    <mergeCell ref="B243:G243"/>
    <mergeCell ref="B244:G244"/>
    <mergeCell ref="B245:G245"/>
    <mergeCell ref="B246:G246"/>
    <mergeCell ref="B306:G306"/>
    <mergeCell ref="B307:G307"/>
    <mergeCell ref="B308:G308"/>
    <mergeCell ref="B309:G309"/>
  </mergeCells>
  <printOptions horizontalCentered="1"/>
  <pageMargins left="0.5" right="0.5" top="0.5" bottom="0.5" header="0.25" footer="0.25"/>
  <pageSetup scale="52" fitToHeight="0" orientation="portrait" r:id="rId1"/>
  <headerFooter scaleWithDoc="0">
    <oddFooter>&amp;C&amp;"Times New Roman,Regular"&amp;10BK-1
Page &amp;P of 7</oddFooter>
  </headerFooter>
  <rowBreaks count="6" manualBreakCount="6">
    <brk id="45" max="7" man="1"/>
    <brk id="101" max="7" man="1"/>
    <brk id="156" max="7" man="1"/>
    <brk id="195" max="7" man="1"/>
    <brk id="240" max="7" man="1"/>
    <brk id="304" max="7" man="1"/>
  </rowBreaks>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V173"/>
  <sheetViews>
    <sheetView zoomScale="80" zoomScaleNormal="80" workbookViewId="0">
      <selection activeCell="E40" sqref="E40"/>
    </sheetView>
  </sheetViews>
  <sheetFormatPr defaultColWidth="9.28515625" defaultRowHeight="15.75" x14ac:dyDescent="0.25"/>
  <cols>
    <col min="1" max="1" width="5.28515625" style="4" customWidth="1"/>
    <col min="2" max="2" width="11.28515625" style="4" customWidth="1"/>
    <col min="3" max="3" width="32.42578125" style="31" customWidth="1"/>
    <col min="4" max="10" width="18.5703125" style="6" customWidth="1"/>
    <col min="11" max="11" width="18.5703125" style="31" customWidth="1"/>
    <col min="12" max="12" width="24" style="31" customWidth="1"/>
    <col min="13" max="14" width="5.28515625" style="4" customWidth="1"/>
    <col min="15" max="15" width="11.7109375" style="31" bestFit="1" customWidth="1"/>
    <col min="16" max="16" width="13.28515625" style="31" customWidth="1"/>
    <col min="17" max="16384" width="9.28515625" style="31"/>
  </cols>
  <sheetData>
    <row r="2" spans="1:14" s="1" customFormat="1" x14ac:dyDescent="0.25">
      <c r="A2" s="217"/>
      <c r="B2" s="1316" t="s">
        <v>0</v>
      </c>
      <c r="C2" s="1316"/>
      <c r="D2" s="1316"/>
      <c r="E2" s="1316"/>
      <c r="F2" s="1316"/>
      <c r="G2" s="1316"/>
      <c r="H2" s="1316"/>
      <c r="I2" s="1316"/>
      <c r="J2" s="1316"/>
      <c r="K2" s="1316"/>
      <c r="L2" s="1316"/>
      <c r="M2" s="217"/>
      <c r="N2" s="217"/>
    </row>
    <row r="3" spans="1:14" s="1" customFormat="1" x14ac:dyDescent="0.25">
      <c r="A3" s="217"/>
      <c r="B3" s="1316" t="s">
        <v>296</v>
      </c>
      <c r="C3" s="1316"/>
      <c r="D3" s="1316"/>
      <c r="E3" s="1316"/>
      <c r="F3" s="1316"/>
      <c r="G3" s="1316"/>
      <c r="H3" s="1316"/>
      <c r="I3" s="1316"/>
      <c r="J3" s="1316"/>
      <c r="K3" s="1316"/>
      <c r="L3" s="1316"/>
      <c r="M3" s="217"/>
      <c r="N3" s="217"/>
    </row>
    <row r="4" spans="1:14" x14ac:dyDescent="0.25">
      <c r="B4" s="1316" t="s">
        <v>297</v>
      </c>
      <c r="C4" s="1316"/>
      <c r="D4" s="1316"/>
      <c r="E4" s="1316"/>
      <c r="F4" s="1316"/>
      <c r="G4" s="1316"/>
      <c r="H4" s="1316"/>
      <c r="I4" s="1316"/>
      <c r="J4" s="1316"/>
      <c r="K4" s="1316"/>
      <c r="L4" s="1316"/>
    </row>
    <row r="5" spans="1:14" x14ac:dyDescent="0.25">
      <c r="B5" s="1312" t="s">
        <v>1949</v>
      </c>
      <c r="C5" s="1312"/>
      <c r="D5" s="1312"/>
      <c r="E5" s="1312"/>
      <c r="F5" s="1312"/>
      <c r="G5" s="1312"/>
      <c r="H5" s="1312"/>
      <c r="I5" s="1312"/>
      <c r="J5" s="1312"/>
      <c r="K5" s="1312"/>
      <c r="L5" s="1312"/>
    </row>
    <row r="6" spans="1:14" x14ac:dyDescent="0.25">
      <c r="B6" s="1312" t="s">
        <v>4</v>
      </c>
      <c r="C6" s="1316"/>
      <c r="D6" s="1316"/>
      <c r="E6" s="1316"/>
      <c r="F6" s="1316"/>
      <c r="G6" s="1316"/>
      <c r="H6" s="1316"/>
      <c r="I6" s="1316"/>
      <c r="J6" s="1316"/>
      <c r="K6" s="1316"/>
      <c r="L6" s="1316"/>
    </row>
    <row r="7" spans="1:14" x14ac:dyDescent="0.25">
      <c r="C7" s="266"/>
      <c r="D7" s="267"/>
      <c r="E7" s="293"/>
      <c r="F7" s="293"/>
      <c r="G7" s="293"/>
      <c r="H7" s="293"/>
      <c r="I7" s="293"/>
      <c r="J7" s="293"/>
    </row>
    <row r="8" spans="1:14" s="217" customFormat="1" x14ac:dyDescent="0.25">
      <c r="B8" s="925"/>
      <c r="C8" s="943"/>
      <c r="D8" s="944" t="s">
        <v>298</v>
      </c>
      <c r="E8" s="944" t="s">
        <v>299</v>
      </c>
      <c r="F8" s="944" t="s">
        <v>300</v>
      </c>
      <c r="G8" s="944" t="s">
        <v>301</v>
      </c>
      <c r="H8" s="944" t="s">
        <v>302</v>
      </c>
      <c r="I8" s="944" t="s">
        <v>303</v>
      </c>
      <c r="J8" s="944" t="s">
        <v>304</v>
      </c>
      <c r="K8" s="944" t="s">
        <v>305</v>
      </c>
      <c r="L8" s="925"/>
      <c r="M8" s="217" t="s">
        <v>1</v>
      </c>
    </row>
    <row r="9" spans="1:14" x14ac:dyDescent="0.25">
      <c r="B9" s="945"/>
      <c r="C9" s="926"/>
      <c r="D9" s="294"/>
      <c r="E9" s="294"/>
      <c r="F9" s="294"/>
      <c r="G9" s="294"/>
      <c r="H9" s="294"/>
      <c r="I9" s="294"/>
      <c r="J9" s="294"/>
      <c r="K9" s="295" t="s">
        <v>180</v>
      </c>
      <c r="L9" s="945"/>
      <c r="M9" s="4" t="s">
        <v>1</v>
      </c>
    </row>
    <row r="10" spans="1:14" x14ac:dyDescent="0.25">
      <c r="B10" s="296"/>
      <c r="C10" s="233"/>
      <c r="D10" s="294"/>
      <c r="E10" s="294" t="s">
        <v>306</v>
      </c>
      <c r="F10" s="294" t="s">
        <v>290</v>
      </c>
      <c r="G10" s="294" t="s">
        <v>295</v>
      </c>
      <c r="H10" s="294" t="s">
        <v>295</v>
      </c>
      <c r="I10" s="294" t="s">
        <v>295</v>
      </c>
      <c r="J10" s="294" t="s">
        <v>295</v>
      </c>
      <c r="K10" s="294" t="s">
        <v>295</v>
      </c>
      <c r="L10" s="932"/>
      <c r="M10" s="4" t="s">
        <v>1</v>
      </c>
    </row>
    <row r="11" spans="1:14" x14ac:dyDescent="0.25">
      <c r="B11" s="297"/>
      <c r="C11" s="277"/>
      <c r="D11" s="298" t="s">
        <v>180</v>
      </c>
      <c r="E11" s="294" t="s">
        <v>307</v>
      </c>
      <c r="F11" s="294" t="s">
        <v>307</v>
      </c>
      <c r="G11" s="294" t="s">
        <v>307</v>
      </c>
      <c r="H11" s="294" t="s">
        <v>307</v>
      </c>
      <c r="I11" s="294" t="s">
        <v>307</v>
      </c>
      <c r="J11" s="294" t="s">
        <v>307</v>
      </c>
      <c r="K11" s="294" t="s">
        <v>291</v>
      </c>
      <c r="L11" s="269"/>
    </row>
    <row r="12" spans="1:14" x14ac:dyDescent="0.25">
      <c r="A12" s="4" t="s">
        <v>5</v>
      </c>
      <c r="B12" s="297"/>
      <c r="C12" s="269"/>
      <c r="D12" s="298" t="s">
        <v>295</v>
      </c>
      <c r="E12" s="294" t="s">
        <v>308</v>
      </c>
      <c r="F12" s="299" t="s">
        <v>308</v>
      </c>
      <c r="G12" s="294" t="s">
        <v>308</v>
      </c>
      <c r="H12" s="294" t="s">
        <v>308</v>
      </c>
      <c r="I12" s="294" t="s">
        <v>308</v>
      </c>
      <c r="J12" s="294" t="s">
        <v>308</v>
      </c>
      <c r="K12" s="294" t="s">
        <v>309</v>
      </c>
      <c r="L12" s="269"/>
      <c r="M12" s="4" t="s">
        <v>5</v>
      </c>
    </row>
    <row r="13" spans="1:14" x14ac:dyDescent="0.25">
      <c r="A13" s="4" t="s">
        <v>6</v>
      </c>
      <c r="B13" s="274" t="s">
        <v>310</v>
      </c>
      <c r="C13" s="274" t="s">
        <v>311</v>
      </c>
      <c r="D13" s="300" t="s">
        <v>307</v>
      </c>
      <c r="E13" s="300" t="s">
        <v>312</v>
      </c>
      <c r="F13" s="300" t="s">
        <v>313</v>
      </c>
      <c r="G13" s="300" t="s">
        <v>314</v>
      </c>
      <c r="H13" s="300" t="s">
        <v>315</v>
      </c>
      <c r="I13" s="300" t="s">
        <v>284</v>
      </c>
      <c r="J13" s="946" t="s">
        <v>316</v>
      </c>
      <c r="K13" s="274" t="s">
        <v>317</v>
      </c>
      <c r="L13" s="274" t="s">
        <v>8</v>
      </c>
      <c r="M13" s="4" t="s">
        <v>6</v>
      </c>
    </row>
    <row r="14" spans="1:14" x14ac:dyDescent="0.25">
      <c r="B14" s="932"/>
      <c r="C14" s="233" t="s">
        <v>318</v>
      </c>
      <c r="D14" s="233"/>
      <c r="E14" s="233"/>
      <c r="F14" s="233"/>
      <c r="G14" s="233"/>
      <c r="H14" s="233"/>
      <c r="I14" s="233"/>
      <c r="J14" s="233"/>
      <c r="K14" s="62"/>
      <c r="L14" s="932"/>
    </row>
    <row r="15" spans="1:14" x14ac:dyDescent="0.25">
      <c r="A15" s="4">
        <v>1</v>
      </c>
      <c r="B15" s="947">
        <v>303</v>
      </c>
      <c r="C15" s="233" t="s">
        <v>319</v>
      </c>
      <c r="D15" s="231">
        <v>0</v>
      </c>
      <c r="E15" s="231">
        <v>0</v>
      </c>
      <c r="F15" s="231">
        <v>0</v>
      </c>
      <c r="G15" s="231">
        <v>0</v>
      </c>
      <c r="H15" s="231">
        <v>0</v>
      </c>
      <c r="I15" s="231">
        <v>0</v>
      </c>
      <c r="J15" s="231">
        <v>0</v>
      </c>
      <c r="K15" s="58">
        <f>SUM(D15:J15)</f>
        <v>0</v>
      </c>
      <c r="L15" s="932" t="s">
        <v>263</v>
      </c>
      <c r="M15" s="4">
        <f>A15</f>
        <v>1</v>
      </c>
    </row>
    <row r="16" spans="1:14" x14ac:dyDescent="0.25">
      <c r="A16" s="4">
        <f t="shared" ref="A16:A38" si="0">A15+1</f>
        <v>2</v>
      </c>
      <c r="B16" s="932">
        <v>310.10000000000002</v>
      </c>
      <c r="C16" s="233" t="s">
        <v>320</v>
      </c>
      <c r="D16" s="232">
        <v>0</v>
      </c>
      <c r="E16" s="232">
        <v>0</v>
      </c>
      <c r="F16" s="232">
        <v>0</v>
      </c>
      <c r="G16" s="232">
        <v>0</v>
      </c>
      <c r="H16" s="232">
        <v>0</v>
      </c>
      <c r="I16" s="232">
        <v>0</v>
      </c>
      <c r="J16" s="232">
        <v>0</v>
      </c>
      <c r="K16" s="52">
        <f>SUM(D16:J16)</f>
        <v>0</v>
      </c>
      <c r="L16" s="932" t="s">
        <v>263</v>
      </c>
      <c r="M16" s="4">
        <f>M15+1</f>
        <v>2</v>
      </c>
    </row>
    <row r="17" spans="1:14" x14ac:dyDescent="0.25">
      <c r="A17" s="4">
        <f t="shared" si="0"/>
        <v>3</v>
      </c>
      <c r="B17" s="947">
        <v>340</v>
      </c>
      <c r="C17" s="948" t="s">
        <v>321</v>
      </c>
      <c r="D17" s="232">
        <v>0</v>
      </c>
      <c r="E17" s="232">
        <v>4.5108853959999999</v>
      </c>
      <c r="F17" s="232">
        <v>0</v>
      </c>
      <c r="G17" s="232">
        <v>0</v>
      </c>
      <c r="H17" s="232">
        <v>0</v>
      </c>
      <c r="I17" s="232">
        <v>0</v>
      </c>
      <c r="J17" s="232">
        <v>0</v>
      </c>
      <c r="K17" s="52">
        <f>SUM(D17:J17)</f>
        <v>4.5108853959999999</v>
      </c>
      <c r="L17" s="932" t="s">
        <v>263</v>
      </c>
      <c r="M17" s="4">
        <f t="shared" ref="M17:M38" si="1">M16+1</f>
        <v>3</v>
      </c>
    </row>
    <row r="18" spans="1:14" x14ac:dyDescent="0.25">
      <c r="A18" s="4">
        <f t="shared" si="0"/>
        <v>4</v>
      </c>
      <c r="B18" s="947">
        <v>360</v>
      </c>
      <c r="C18" s="948" t="s">
        <v>321</v>
      </c>
      <c r="D18" s="232">
        <v>0</v>
      </c>
      <c r="E18" s="232">
        <v>0</v>
      </c>
      <c r="F18" s="232">
        <v>3615.5538399999973</v>
      </c>
      <c r="G18" s="232">
        <v>0</v>
      </c>
      <c r="H18" s="232">
        <v>0</v>
      </c>
      <c r="I18" s="232">
        <v>0</v>
      </c>
      <c r="J18" s="232">
        <v>0</v>
      </c>
      <c r="K18" s="52">
        <f>SUM(D18:J18)</f>
        <v>3615.5538399999973</v>
      </c>
      <c r="L18" s="932" t="s">
        <v>263</v>
      </c>
      <c r="M18" s="4">
        <f t="shared" si="1"/>
        <v>4</v>
      </c>
    </row>
    <row r="19" spans="1:14" x14ac:dyDescent="0.25">
      <c r="A19" s="4">
        <f t="shared" si="0"/>
        <v>5</v>
      </c>
      <c r="B19" s="947">
        <v>361</v>
      </c>
      <c r="C19" s="233" t="s">
        <v>322</v>
      </c>
      <c r="D19" s="232">
        <v>0</v>
      </c>
      <c r="E19" s="232">
        <v>0</v>
      </c>
      <c r="F19" s="232">
        <v>1576.7471199999993</v>
      </c>
      <c r="G19" s="232">
        <v>0</v>
      </c>
      <c r="H19" s="232">
        <v>0</v>
      </c>
      <c r="I19" s="232">
        <v>0</v>
      </c>
      <c r="J19" s="232">
        <v>0</v>
      </c>
      <c r="K19" s="52">
        <f>SUM(D19:J19)</f>
        <v>1576.7471199999993</v>
      </c>
      <c r="L19" s="932" t="s">
        <v>263</v>
      </c>
      <c r="M19" s="4">
        <f t="shared" si="1"/>
        <v>5</v>
      </c>
    </row>
    <row r="20" spans="1:14" x14ac:dyDescent="0.25">
      <c r="A20" s="4">
        <f t="shared" si="0"/>
        <v>6</v>
      </c>
      <c r="B20" s="932"/>
      <c r="C20" s="233"/>
      <c r="D20" s="233"/>
      <c r="E20" s="233"/>
      <c r="F20" s="233"/>
      <c r="G20" s="233"/>
      <c r="H20" s="233"/>
      <c r="I20" s="233"/>
      <c r="J20" s="233"/>
      <c r="K20" s="62"/>
      <c r="L20" s="932"/>
      <c r="M20" s="4">
        <f t="shared" si="1"/>
        <v>6</v>
      </c>
    </row>
    <row r="21" spans="1:14" s="1" customFormat="1" x14ac:dyDescent="0.25">
      <c r="A21" s="4">
        <f t="shared" si="0"/>
        <v>7</v>
      </c>
      <c r="B21" s="949" t="s">
        <v>323</v>
      </c>
      <c r="C21" s="950" t="s">
        <v>324</v>
      </c>
      <c r="D21" s="951">
        <f t="shared" ref="D21:K21" si="2">SUM(D15:D20)</f>
        <v>0</v>
      </c>
      <c r="E21" s="951">
        <f t="shared" si="2"/>
        <v>4.5108853959999999</v>
      </c>
      <c r="F21" s="951">
        <f t="shared" si="2"/>
        <v>5192.3009599999968</v>
      </c>
      <c r="G21" s="951">
        <f t="shared" si="2"/>
        <v>0</v>
      </c>
      <c r="H21" s="951">
        <f t="shared" si="2"/>
        <v>0</v>
      </c>
      <c r="I21" s="951">
        <f t="shared" si="2"/>
        <v>0</v>
      </c>
      <c r="J21" s="951">
        <f t="shared" si="2"/>
        <v>0</v>
      </c>
      <c r="K21" s="235">
        <f t="shared" si="2"/>
        <v>5196.8118453959969</v>
      </c>
      <c r="L21" s="952" t="s">
        <v>14</v>
      </c>
      <c r="M21" s="4">
        <f t="shared" si="1"/>
        <v>7</v>
      </c>
      <c r="N21" s="4"/>
    </row>
    <row r="22" spans="1:14" x14ac:dyDescent="0.25">
      <c r="A22" s="4">
        <f t="shared" si="0"/>
        <v>8</v>
      </c>
      <c r="B22" s="932"/>
      <c r="C22" s="233"/>
      <c r="D22" s="232"/>
      <c r="E22" s="232"/>
      <c r="F22" s="232"/>
      <c r="G22" s="232"/>
      <c r="H22" s="232"/>
      <c r="I22" s="232"/>
      <c r="J22" s="232"/>
      <c r="K22" s="62"/>
      <c r="L22" s="932"/>
      <c r="M22" s="4">
        <f t="shared" si="1"/>
        <v>8</v>
      </c>
    </row>
    <row r="23" spans="1:14" x14ac:dyDescent="0.25">
      <c r="A23" s="4">
        <f t="shared" si="0"/>
        <v>9</v>
      </c>
      <c r="B23" s="947">
        <v>350</v>
      </c>
      <c r="C23" s="233" t="s">
        <v>321</v>
      </c>
      <c r="D23" s="953">
        <v>261778.19866000011</v>
      </c>
      <c r="E23" s="231">
        <v>0</v>
      </c>
      <c r="F23" s="231">
        <v>0</v>
      </c>
      <c r="G23" s="231">
        <v>0</v>
      </c>
      <c r="H23" s="231">
        <v>0</v>
      </c>
      <c r="I23" s="231">
        <v>0</v>
      </c>
      <c r="J23" s="231">
        <v>-13557.506586751999</v>
      </c>
      <c r="K23" s="58">
        <f t="shared" ref="K23:K34" si="3">SUM(D23:J23)</f>
        <v>248220.69207324812</v>
      </c>
      <c r="L23" s="932" t="s">
        <v>263</v>
      </c>
      <c r="M23" s="4">
        <f t="shared" si="1"/>
        <v>9</v>
      </c>
    </row>
    <row r="24" spans="1:14" x14ac:dyDescent="0.25">
      <c r="A24" s="4">
        <f t="shared" si="0"/>
        <v>10</v>
      </c>
      <c r="B24" s="947">
        <v>351.1</v>
      </c>
      <c r="C24" s="233" t="s">
        <v>1492</v>
      </c>
      <c r="D24" s="232">
        <v>0</v>
      </c>
      <c r="E24" s="232">
        <v>0</v>
      </c>
      <c r="F24" s="232">
        <v>0</v>
      </c>
      <c r="G24" s="232">
        <v>0</v>
      </c>
      <c r="H24" s="232">
        <v>0</v>
      </c>
      <c r="I24" s="232">
        <v>0</v>
      </c>
      <c r="J24" s="232">
        <v>0</v>
      </c>
      <c r="K24" s="52">
        <f t="shared" si="3"/>
        <v>0</v>
      </c>
      <c r="L24" s="932" t="s">
        <v>263</v>
      </c>
      <c r="M24" s="4">
        <f t="shared" si="1"/>
        <v>10</v>
      </c>
      <c r="N24" s="357"/>
    </row>
    <row r="25" spans="1:14" x14ac:dyDescent="0.25">
      <c r="A25" s="4">
        <f t="shared" si="0"/>
        <v>11</v>
      </c>
      <c r="B25" s="947">
        <v>351.2</v>
      </c>
      <c r="C25" s="233" t="s">
        <v>1493</v>
      </c>
      <c r="D25" s="232">
        <v>720.58299999999997</v>
      </c>
      <c r="E25" s="232">
        <v>0</v>
      </c>
      <c r="F25" s="232">
        <v>0</v>
      </c>
      <c r="G25" s="232">
        <v>0</v>
      </c>
      <c r="H25" s="232">
        <v>0</v>
      </c>
      <c r="I25" s="232">
        <v>0</v>
      </c>
      <c r="J25" s="232">
        <v>0</v>
      </c>
      <c r="K25" s="52">
        <f t="shared" si="3"/>
        <v>720.58299999999997</v>
      </c>
      <c r="L25" s="932" t="s">
        <v>263</v>
      </c>
      <c r="M25" s="4">
        <f t="shared" si="1"/>
        <v>11</v>
      </c>
      <c r="N25" s="357"/>
    </row>
    <row r="26" spans="1:14" x14ac:dyDescent="0.25">
      <c r="A26" s="4">
        <f t="shared" si="0"/>
        <v>12</v>
      </c>
      <c r="B26" s="947">
        <v>351.3</v>
      </c>
      <c r="C26" s="233" t="s">
        <v>1494</v>
      </c>
      <c r="D26" s="232">
        <v>233167.7458</v>
      </c>
      <c r="E26" s="232">
        <v>0</v>
      </c>
      <c r="F26" s="232">
        <v>0</v>
      </c>
      <c r="G26" s="232">
        <v>0</v>
      </c>
      <c r="H26" s="232">
        <v>0</v>
      </c>
      <c r="I26" s="232">
        <v>0</v>
      </c>
      <c r="J26" s="232">
        <v>0</v>
      </c>
      <c r="K26" s="52">
        <f t="shared" si="3"/>
        <v>233167.7458</v>
      </c>
      <c r="L26" s="932" t="s">
        <v>263</v>
      </c>
      <c r="M26" s="4">
        <f t="shared" si="1"/>
        <v>12</v>
      </c>
      <c r="N26" s="357"/>
    </row>
    <row r="27" spans="1:14" x14ac:dyDescent="0.25">
      <c r="A27" s="4">
        <f t="shared" si="0"/>
        <v>13</v>
      </c>
      <c r="B27" s="947">
        <v>352</v>
      </c>
      <c r="C27" s="233" t="s">
        <v>322</v>
      </c>
      <c r="D27" s="954">
        <v>986629.87052999914</v>
      </c>
      <c r="E27" s="232">
        <v>0</v>
      </c>
      <c r="F27" s="232">
        <v>0</v>
      </c>
      <c r="G27" s="232">
        <v>-1928.2778199999998</v>
      </c>
      <c r="H27" s="232">
        <v>0</v>
      </c>
      <c r="I27" s="232">
        <v>0</v>
      </c>
      <c r="J27" s="232">
        <v>-161599.73698249995</v>
      </c>
      <c r="K27" s="52">
        <f t="shared" si="3"/>
        <v>823101.85572749923</v>
      </c>
      <c r="L27" s="932" t="s">
        <v>263</v>
      </c>
      <c r="M27" s="4">
        <f t="shared" si="1"/>
        <v>13</v>
      </c>
      <c r="N27" s="357"/>
    </row>
    <row r="28" spans="1:14" x14ac:dyDescent="0.25">
      <c r="A28" s="4">
        <f t="shared" si="0"/>
        <v>14</v>
      </c>
      <c r="B28" s="947">
        <v>353</v>
      </c>
      <c r="C28" s="233" t="s">
        <v>325</v>
      </c>
      <c r="D28" s="954">
        <v>2424472.8794399956</v>
      </c>
      <c r="E28" s="232">
        <v>0</v>
      </c>
      <c r="F28" s="232">
        <v>0</v>
      </c>
      <c r="G28" s="232">
        <v>-12009.827289999999</v>
      </c>
      <c r="H28" s="232">
        <v>-1420.3928799999999</v>
      </c>
      <c r="I28" s="232">
        <v>0</v>
      </c>
      <c r="J28" s="232">
        <v>-2418.0558699999997</v>
      </c>
      <c r="K28" s="52">
        <f t="shared" si="3"/>
        <v>2408624.6033999957</v>
      </c>
      <c r="L28" s="932" t="s">
        <v>263</v>
      </c>
      <c r="M28" s="4">
        <f t="shared" si="1"/>
        <v>14</v>
      </c>
      <c r="N28" s="357"/>
    </row>
    <row r="29" spans="1:14" x14ac:dyDescent="0.25">
      <c r="A29" s="4">
        <f t="shared" si="0"/>
        <v>15</v>
      </c>
      <c r="B29" s="947">
        <v>354</v>
      </c>
      <c r="C29" s="233" t="s">
        <v>326</v>
      </c>
      <c r="D29" s="954">
        <v>927128.63933999697</v>
      </c>
      <c r="E29" s="232">
        <v>0</v>
      </c>
      <c r="F29" s="232">
        <v>0</v>
      </c>
      <c r="G29" s="232">
        <v>0</v>
      </c>
      <c r="H29" s="232">
        <v>0</v>
      </c>
      <c r="I29" s="232">
        <v>0</v>
      </c>
      <c r="J29" s="232">
        <v>0</v>
      </c>
      <c r="K29" s="52">
        <f t="shared" si="3"/>
        <v>927128.63933999697</v>
      </c>
      <c r="L29" s="932" t="s">
        <v>263</v>
      </c>
      <c r="M29" s="4">
        <f t="shared" si="1"/>
        <v>15</v>
      </c>
      <c r="N29" s="357"/>
    </row>
    <row r="30" spans="1:14" x14ac:dyDescent="0.25">
      <c r="A30" s="4">
        <f t="shared" si="0"/>
        <v>16</v>
      </c>
      <c r="B30" s="947">
        <v>355</v>
      </c>
      <c r="C30" s="233" t="s">
        <v>327</v>
      </c>
      <c r="D30" s="954">
        <v>1321574.098740001</v>
      </c>
      <c r="E30" s="232">
        <v>0</v>
      </c>
      <c r="F30" s="232">
        <v>0</v>
      </c>
      <c r="G30" s="232">
        <v>0</v>
      </c>
      <c r="H30" s="232">
        <v>0</v>
      </c>
      <c r="I30" s="232">
        <v>0</v>
      </c>
      <c r="J30" s="232">
        <v>0</v>
      </c>
      <c r="K30" s="52">
        <f t="shared" si="3"/>
        <v>1321574.098740001</v>
      </c>
      <c r="L30" s="932" t="s">
        <v>263</v>
      </c>
      <c r="M30" s="4">
        <f t="shared" si="1"/>
        <v>16</v>
      </c>
      <c r="N30" s="357"/>
    </row>
    <row r="31" spans="1:14" x14ac:dyDescent="0.25">
      <c r="A31" s="4">
        <f t="shared" si="0"/>
        <v>17</v>
      </c>
      <c r="B31" s="947">
        <v>356</v>
      </c>
      <c r="C31" s="233" t="s">
        <v>328</v>
      </c>
      <c r="D31" s="954">
        <v>1072380.8811299999</v>
      </c>
      <c r="E31" s="232">
        <v>0</v>
      </c>
      <c r="F31" s="232">
        <v>0</v>
      </c>
      <c r="G31" s="232">
        <v>0</v>
      </c>
      <c r="H31" s="232">
        <v>0</v>
      </c>
      <c r="I31" s="232">
        <v>0</v>
      </c>
      <c r="J31" s="232">
        <v>0</v>
      </c>
      <c r="K31" s="52">
        <f t="shared" si="3"/>
        <v>1072380.8811299999</v>
      </c>
      <c r="L31" s="932" t="s">
        <v>263</v>
      </c>
      <c r="M31" s="4">
        <f t="shared" si="1"/>
        <v>17</v>
      </c>
      <c r="N31" s="357"/>
    </row>
    <row r="32" spans="1:14" x14ac:dyDescent="0.25">
      <c r="A32" s="4">
        <f t="shared" si="0"/>
        <v>18</v>
      </c>
      <c r="B32" s="947">
        <v>357</v>
      </c>
      <c r="C32" s="233" t="s">
        <v>329</v>
      </c>
      <c r="D32" s="954">
        <v>676525.20945999993</v>
      </c>
      <c r="E32" s="232">
        <v>0</v>
      </c>
      <c r="F32" s="232">
        <v>0</v>
      </c>
      <c r="G32" s="232">
        <v>0</v>
      </c>
      <c r="H32" s="232">
        <v>0</v>
      </c>
      <c r="I32" s="232">
        <v>0</v>
      </c>
      <c r="J32" s="232">
        <v>0</v>
      </c>
      <c r="K32" s="52">
        <f t="shared" si="3"/>
        <v>676525.20945999993</v>
      </c>
      <c r="L32" s="932" t="s">
        <v>263</v>
      </c>
      <c r="M32" s="4">
        <f t="shared" si="1"/>
        <v>18</v>
      </c>
      <c r="N32" s="357"/>
    </row>
    <row r="33" spans="1:22" x14ac:dyDescent="0.25">
      <c r="A33" s="4">
        <f t="shared" si="0"/>
        <v>19</v>
      </c>
      <c r="B33" s="947">
        <v>358</v>
      </c>
      <c r="C33" s="233" t="s">
        <v>330</v>
      </c>
      <c r="D33" s="954">
        <v>662349.41055999987</v>
      </c>
      <c r="E33" s="232">
        <v>0</v>
      </c>
      <c r="F33" s="232">
        <v>0</v>
      </c>
      <c r="G33" s="232">
        <v>-1726.37997</v>
      </c>
      <c r="H33" s="232">
        <v>0</v>
      </c>
      <c r="I33" s="232">
        <v>0</v>
      </c>
      <c r="J33" s="232">
        <v>0</v>
      </c>
      <c r="K33" s="52">
        <f t="shared" si="3"/>
        <v>660623.03058999986</v>
      </c>
      <c r="L33" s="932" t="s">
        <v>263</v>
      </c>
      <c r="M33" s="4">
        <f t="shared" si="1"/>
        <v>19</v>
      </c>
      <c r="N33" s="357"/>
    </row>
    <row r="34" spans="1:22" x14ac:dyDescent="0.25">
      <c r="A34" s="4">
        <f t="shared" si="0"/>
        <v>20</v>
      </c>
      <c r="B34" s="947">
        <v>359</v>
      </c>
      <c r="C34" s="233" t="s">
        <v>331</v>
      </c>
      <c r="D34" s="954">
        <v>400924.57051999983</v>
      </c>
      <c r="E34" s="232">
        <v>0</v>
      </c>
      <c r="F34" s="232">
        <v>0</v>
      </c>
      <c r="G34" s="232">
        <v>0</v>
      </c>
      <c r="H34" s="232">
        <v>0</v>
      </c>
      <c r="I34" s="232">
        <v>0</v>
      </c>
      <c r="J34" s="232">
        <v>0</v>
      </c>
      <c r="K34" s="52">
        <f t="shared" si="3"/>
        <v>400924.57051999983</v>
      </c>
      <c r="L34" s="932" t="s">
        <v>263</v>
      </c>
      <c r="M34" s="4">
        <f t="shared" si="1"/>
        <v>20</v>
      </c>
      <c r="N34" s="357"/>
    </row>
    <row r="35" spans="1:22" x14ac:dyDescent="0.25">
      <c r="A35" s="4">
        <f t="shared" si="0"/>
        <v>21</v>
      </c>
      <c r="B35" s="947"/>
      <c r="C35" s="233"/>
      <c r="D35" s="232"/>
      <c r="F35" s="93"/>
      <c r="G35" s="93"/>
      <c r="H35" s="93"/>
      <c r="I35" s="93"/>
      <c r="J35" s="232"/>
      <c r="K35" s="53"/>
      <c r="L35" s="947"/>
      <c r="M35" s="4">
        <f t="shared" si="1"/>
        <v>21</v>
      </c>
      <c r="N35" s="357"/>
    </row>
    <row r="36" spans="1:22" x14ac:dyDescent="0.25">
      <c r="A36" s="4">
        <f t="shared" si="0"/>
        <v>22</v>
      </c>
      <c r="B36" s="955" t="s">
        <v>323</v>
      </c>
      <c r="C36" s="950" t="s">
        <v>294</v>
      </c>
      <c r="D36" s="951">
        <f>SUM(D23:D35)</f>
        <v>8967652.0871799942</v>
      </c>
      <c r="E36" s="951">
        <f>SUM(E23:E35)</f>
        <v>0</v>
      </c>
      <c r="F36" s="951">
        <f>SUM(F23:F35)</f>
        <v>0</v>
      </c>
      <c r="G36" s="951">
        <f t="shared" ref="G36:H36" si="4">SUM(G23:G35)</f>
        <v>-15664.485079999999</v>
      </c>
      <c r="H36" s="951">
        <f t="shared" si="4"/>
        <v>-1420.3928799999999</v>
      </c>
      <c r="I36" s="951">
        <f>SUM(I23:I35)</f>
        <v>0</v>
      </c>
      <c r="J36" s="951">
        <f>SUM(J23:J35)</f>
        <v>-177575.29943925195</v>
      </c>
      <c r="K36" s="235">
        <f>SUM(K23:K35)</f>
        <v>8772991.9097807407</v>
      </c>
      <c r="L36" s="956" t="s">
        <v>1503</v>
      </c>
      <c r="M36" s="4">
        <f t="shared" si="1"/>
        <v>22</v>
      </c>
      <c r="N36" s="357"/>
    </row>
    <row r="37" spans="1:22" x14ac:dyDescent="0.25">
      <c r="A37" s="4">
        <f t="shared" si="0"/>
        <v>23</v>
      </c>
      <c r="B37" s="296"/>
      <c r="D37" s="31"/>
      <c r="K37" s="6"/>
      <c r="L37" s="301"/>
      <c r="M37" s="4">
        <f t="shared" si="1"/>
        <v>23</v>
      </c>
      <c r="N37" s="357"/>
    </row>
    <row r="38" spans="1:22" x14ac:dyDescent="0.25">
      <c r="A38" s="4">
        <f t="shared" si="0"/>
        <v>24</v>
      </c>
      <c r="B38" s="302" t="s">
        <v>332</v>
      </c>
      <c r="C38" s="957"/>
      <c r="D38" s="575">
        <f t="shared" ref="D38:K38" si="5">D36+D21</f>
        <v>8967652.0871799942</v>
      </c>
      <c r="E38" s="575">
        <f t="shared" si="5"/>
        <v>4.5108853959999999</v>
      </c>
      <c r="F38" s="575">
        <f t="shared" si="5"/>
        <v>5192.3009599999968</v>
      </c>
      <c r="G38" s="575">
        <f t="shared" si="5"/>
        <v>-15664.485079999999</v>
      </c>
      <c r="H38" s="575">
        <f t="shared" si="5"/>
        <v>-1420.3928799999999</v>
      </c>
      <c r="I38" s="575">
        <f t="shared" si="5"/>
        <v>0</v>
      </c>
      <c r="J38" s="575">
        <f t="shared" si="5"/>
        <v>-177575.29943925195</v>
      </c>
      <c r="K38" s="63">
        <f t="shared" si="5"/>
        <v>8778188.7216261365</v>
      </c>
      <c r="L38" s="952" t="s">
        <v>1504</v>
      </c>
      <c r="M38" s="4">
        <f t="shared" si="1"/>
        <v>24</v>
      </c>
      <c r="N38" s="357"/>
      <c r="O38"/>
      <c r="P38"/>
      <c r="Q38"/>
      <c r="R38"/>
      <c r="S38"/>
      <c r="T38"/>
      <c r="U38"/>
      <c r="V38"/>
    </row>
    <row r="39" spans="1:22" x14ac:dyDescent="0.25">
      <c r="D39" s="31"/>
    </row>
    <row r="40" spans="1:22" x14ac:dyDescent="0.25">
      <c r="D40" s="31"/>
    </row>
    <row r="41" spans="1:22" x14ac:dyDescent="0.25">
      <c r="B41" s="32" t="s">
        <v>333</v>
      </c>
      <c r="D41" s="31"/>
    </row>
    <row r="42" spans="1:22" x14ac:dyDescent="0.25">
      <c r="D42" s="31"/>
      <c r="K42" s="6"/>
      <c r="L42" s="6"/>
    </row>
    <row r="43" spans="1:22" x14ac:dyDescent="0.25">
      <c r="D43" s="31"/>
    </row>
    <row r="44" spans="1:22" x14ac:dyDescent="0.25">
      <c r="D44" s="31"/>
    </row>
    <row r="45" spans="1:22" x14ac:dyDescent="0.25">
      <c r="D45" s="31"/>
    </row>
    <row r="46" spans="1:22" x14ac:dyDescent="0.25">
      <c r="D46" s="31"/>
    </row>
    <row r="47" spans="1:22" x14ac:dyDescent="0.25">
      <c r="D47" s="31"/>
    </row>
    <row r="48" spans="1:22" x14ac:dyDescent="0.25">
      <c r="D48" s="31"/>
    </row>
    <row r="49" spans="4:4" x14ac:dyDescent="0.25">
      <c r="D49" s="31"/>
    </row>
    <row r="50" spans="4:4" x14ac:dyDescent="0.25">
      <c r="D50" s="31"/>
    </row>
    <row r="51" spans="4:4" x14ac:dyDescent="0.25">
      <c r="D51" s="31"/>
    </row>
    <row r="52" spans="4:4" x14ac:dyDescent="0.25">
      <c r="D52" s="31"/>
    </row>
    <row r="53" spans="4:4" x14ac:dyDescent="0.25">
      <c r="D53" s="31"/>
    </row>
    <row r="54" spans="4:4" x14ac:dyDescent="0.25">
      <c r="D54" s="31"/>
    </row>
    <row r="55" spans="4:4" x14ac:dyDescent="0.25">
      <c r="D55" s="31"/>
    </row>
    <row r="56" spans="4:4" x14ac:dyDescent="0.25">
      <c r="D56" s="31"/>
    </row>
    <row r="57" spans="4:4" x14ac:dyDescent="0.25">
      <c r="D57" s="31"/>
    </row>
    <row r="58" spans="4:4" x14ac:dyDescent="0.25">
      <c r="D58" s="31"/>
    </row>
    <row r="59" spans="4:4" x14ac:dyDescent="0.25">
      <c r="D59" s="31"/>
    </row>
    <row r="60" spans="4:4" x14ac:dyDescent="0.25">
      <c r="D60" s="31"/>
    </row>
    <row r="61" spans="4:4" x14ac:dyDescent="0.25">
      <c r="D61" s="31"/>
    </row>
    <row r="62" spans="4:4" x14ac:dyDescent="0.25">
      <c r="D62" s="31"/>
    </row>
    <row r="63" spans="4:4" x14ac:dyDescent="0.25">
      <c r="D63" s="31"/>
    </row>
    <row r="64" spans="4:4" x14ac:dyDescent="0.25">
      <c r="D64" s="31"/>
    </row>
    <row r="65" spans="4:4" x14ac:dyDescent="0.25">
      <c r="D65" s="31"/>
    </row>
    <row r="66" spans="4:4" x14ac:dyDescent="0.25">
      <c r="D66" s="31"/>
    </row>
    <row r="67" spans="4:4" x14ac:dyDescent="0.25">
      <c r="D67" s="31"/>
    </row>
    <row r="68" spans="4:4" x14ac:dyDescent="0.25">
      <c r="D68" s="31"/>
    </row>
    <row r="69" spans="4:4" x14ac:dyDescent="0.25">
      <c r="D69" s="31"/>
    </row>
    <row r="70" spans="4:4" x14ac:dyDescent="0.25">
      <c r="D70" s="31"/>
    </row>
    <row r="71" spans="4:4" x14ac:dyDescent="0.25">
      <c r="D71" s="31"/>
    </row>
    <row r="72" spans="4:4" x14ac:dyDescent="0.25">
      <c r="D72" s="31"/>
    </row>
    <row r="73" spans="4:4" x14ac:dyDescent="0.25">
      <c r="D73" s="31"/>
    </row>
    <row r="74" spans="4:4" x14ac:dyDescent="0.25">
      <c r="D74" s="31"/>
    </row>
    <row r="75" spans="4:4" x14ac:dyDescent="0.25">
      <c r="D75" s="31"/>
    </row>
    <row r="76" spans="4:4" x14ac:dyDescent="0.25">
      <c r="D76" s="31"/>
    </row>
    <row r="77" spans="4:4" x14ac:dyDescent="0.25">
      <c r="D77" s="31"/>
    </row>
    <row r="78" spans="4:4" x14ac:dyDescent="0.25">
      <c r="D78" s="31"/>
    </row>
    <row r="79" spans="4:4" x14ac:dyDescent="0.25">
      <c r="D79" s="31"/>
    </row>
    <row r="80" spans="4:4" x14ac:dyDescent="0.25">
      <c r="D80" s="31"/>
    </row>
    <row r="81" spans="4:4" x14ac:dyDescent="0.25">
      <c r="D81" s="31"/>
    </row>
    <row r="82" spans="4:4" x14ac:dyDescent="0.25">
      <c r="D82" s="31"/>
    </row>
    <row r="83" spans="4:4" x14ac:dyDescent="0.25">
      <c r="D83" s="31"/>
    </row>
    <row r="84" spans="4:4" x14ac:dyDescent="0.25">
      <c r="D84" s="31"/>
    </row>
    <row r="85" spans="4:4" x14ac:dyDescent="0.25">
      <c r="D85" s="31"/>
    </row>
    <row r="86" spans="4:4" x14ac:dyDescent="0.25">
      <c r="D86" s="31"/>
    </row>
    <row r="87" spans="4:4" x14ac:dyDescent="0.25">
      <c r="D87" s="31"/>
    </row>
    <row r="88" spans="4:4" x14ac:dyDescent="0.25">
      <c r="D88" s="31"/>
    </row>
    <row r="89" spans="4:4" x14ac:dyDescent="0.25">
      <c r="D89" s="31"/>
    </row>
    <row r="90" spans="4:4" x14ac:dyDescent="0.25">
      <c r="D90" s="31"/>
    </row>
    <row r="91" spans="4:4" x14ac:dyDescent="0.25">
      <c r="D91" s="31"/>
    </row>
    <row r="92" spans="4:4" x14ac:dyDescent="0.25">
      <c r="D92" s="31"/>
    </row>
    <row r="93" spans="4:4" x14ac:dyDescent="0.25">
      <c r="D93" s="31"/>
    </row>
    <row r="94" spans="4:4" x14ac:dyDescent="0.25">
      <c r="D94" s="31"/>
    </row>
    <row r="95" spans="4:4" x14ac:dyDescent="0.25">
      <c r="D95" s="31"/>
    </row>
    <row r="96" spans="4:4" x14ac:dyDescent="0.25">
      <c r="D96" s="31"/>
    </row>
    <row r="97" spans="4:4" x14ac:dyDescent="0.25">
      <c r="D97" s="31"/>
    </row>
    <row r="98" spans="4:4" x14ac:dyDescent="0.25">
      <c r="D98" s="31"/>
    </row>
    <row r="99" spans="4:4" x14ac:dyDescent="0.25">
      <c r="D99" s="31"/>
    </row>
    <row r="100" spans="4:4" x14ac:dyDescent="0.25">
      <c r="D100" s="31"/>
    </row>
    <row r="101" spans="4:4" x14ac:dyDescent="0.25">
      <c r="D101" s="31"/>
    </row>
    <row r="102" spans="4:4" x14ac:dyDescent="0.25">
      <c r="D102" s="31"/>
    </row>
    <row r="103" spans="4:4" x14ac:dyDescent="0.25">
      <c r="D103" s="31"/>
    </row>
    <row r="104" spans="4:4" x14ac:dyDescent="0.25">
      <c r="D104" s="31"/>
    </row>
    <row r="105" spans="4:4" x14ac:dyDescent="0.25">
      <c r="D105" s="31"/>
    </row>
    <row r="106" spans="4:4" x14ac:dyDescent="0.25">
      <c r="D106" s="31"/>
    </row>
    <row r="107" spans="4:4" x14ac:dyDescent="0.25">
      <c r="D107" s="31"/>
    </row>
    <row r="108" spans="4:4" x14ac:dyDescent="0.25">
      <c r="D108" s="31"/>
    </row>
    <row r="109" spans="4:4" x14ac:dyDescent="0.25">
      <c r="D109" s="31"/>
    </row>
    <row r="110" spans="4:4" x14ac:dyDescent="0.25">
      <c r="D110" s="31"/>
    </row>
    <row r="111" spans="4:4" x14ac:dyDescent="0.25">
      <c r="D111" s="31"/>
    </row>
    <row r="112" spans="4:4" x14ac:dyDescent="0.25">
      <c r="D112" s="31"/>
    </row>
    <row r="113" spans="4:4" x14ac:dyDescent="0.25">
      <c r="D113" s="31"/>
    </row>
    <row r="114" spans="4:4" x14ac:dyDescent="0.25">
      <c r="D114" s="31"/>
    </row>
    <row r="115" spans="4:4" x14ac:dyDescent="0.25">
      <c r="D115" s="31"/>
    </row>
    <row r="116" spans="4:4" x14ac:dyDescent="0.25">
      <c r="D116" s="31"/>
    </row>
    <row r="117" spans="4:4" x14ac:dyDescent="0.25">
      <c r="D117" s="31"/>
    </row>
    <row r="118" spans="4:4" x14ac:dyDescent="0.25">
      <c r="D118" s="31"/>
    </row>
    <row r="119" spans="4:4" x14ac:dyDescent="0.25">
      <c r="D119" s="31"/>
    </row>
    <row r="120" spans="4:4" x14ac:dyDescent="0.25">
      <c r="D120" s="31"/>
    </row>
    <row r="121" spans="4:4" x14ac:dyDescent="0.25">
      <c r="D121" s="31"/>
    </row>
    <row r="122" spans="4:4" x14ac:dyDescent="0.25">
      <c r="D122" s="31"/>
    </row>
    <row r="123" spans="4:4" x14ac:dyDescent="0.25">
      <c r="D123" s="31"/>
    </row>
    <row r="124" spans="4:4" x14ac:dyDescent="0.25">
      <c r="D124" s="31"/>
    </row>
    <row r="125" spans="4:4" x14ac:dyDescent="0.25">
      <c r="D125" s="31"/>
    </row>
    <row r="126" spans="4:4" x14ac:dyDescent="0.25">
      <c r="D126" s="31"/>
    </row>
    <row r="127" spans="4:4" x14ac:dyDescent="0.25">
      <c r="D127" s="31"/>
    </row>
    <row r="128" spans="4:4" x14ac:dyDescent="0.25">
      <c r="D128" s="31"/>
    </row>
    <row r="129" spans="4:4" x14ac:dyDescent="0.25">
      <c r="D129" s="31"/>
    </row>
    <row r="130" spans="4:4" x14ac:dyDescent="0.25">
      <c r="D130" s="31"/>
    </row>
    <row r="131" spans="4:4" x14ac:dyDescent="0.25">
      <c r="D131" s="31"/>
    </row>
    <row r="132" spans="4:4" x14ac:dyDescent="0.25">
      <c r="D132" s="31"/>
    </row>
    <row r="133" spans="4:4" x14ac:dyDescent="0.25">
      <c r="D133" s="31"/>
    </row>
    <row r="134" spans="4:4" x14ac:dyDescent="0.25">
      <c r="D134" s="31"/>
    </row>
    <row r="135" spans="4:4" x14ac:dyDescent="0.25">
      <c r="D135" s="31"/>
    </row>
    <row r="136" spans="4:4" x14ac:dyDescent="0.25">
      <c r="D136" s="31"/>
    </row>
    <row r="137" spans="4:4" x14ac:dyDescent="0.25">
      <c r="D137" s="31"/>
    </row>
    <row r="138" spans="4:4" x14ac:dyDescent="0.25">
      <c r="D138" s="31"/>
    </row>
    <row r="139" spans="4:4" x14ac:dyDescent="0.25">
      <c r="D139" s="31"/>
    </row>
    <row r="140" spans="4:4" x14ac:dyDescent="0.25">
      <c r="D140" s="31"/>
    </row>
    <row r="141" spans="4:4" x14ac:dyDescent="0.25">
      <c r="D141" s="31"/>
    </row>
    <row r="142" spans="4:4" x14ac:dyDescent="0.25">
      <c r="D142" s="31"/>
    </row>
    <row r="143" spans="4:4" x14ac:dyDescent="0.25">
      <c r="D143" s="31"/>
    </row>
    <row r="144" spans="4:4" x14ac:dyDescent="0.25">
      <c r="D144" s="31"/>
    </row>
    <row r="145" spans="4:4" x14ac:dyDescent="0.25">
      <c r="D145" s="31"/>
    </row>
    <row r="146" spans="4:4" x14ac:dyDescent="0.25">
      <c r="D146" s="31"/>
    </row>
    <row r="147" spans="4:4" x14ac:dyDescent="0.25">
      <c r="D147" s="31"/>
    </row>
    <row r="148" spans="4:4" x14ac:dyDescent="0.25">
      <c r="D148" s="31"/>
    </row>
    <row r="149" spans="4:4" x14ac:dyDescent="0.25">
      <c r="D149" s="31"/>
    </row>
    <row r="150" spans="4:4" x14ac:dyDescent="0.25">
      <c r="D150" s="31"/>
    </row>
    <row r="151" spans="4:4" x14ac:dyDescent="0.25">
      <c r="D151" s="31"/>
    </row>
    <row r="152" spans="4:4" x14ac:dyDescent="0.25">
      <c r="D152" s="31"/>
    </row>
    <row r="153" spans="4:4" x14ac:dyDescent="0.25">
      <c r="D153" s="31"/>
    </row>
    <row r="154" spans="4:4" x14ac:dyDescent="0.25">
      <c r="D154" s="31"/>
    </row>
    <row r="155" spans="4:4" x14ac:dyDescent="0.25">
      <c r="D155" s="31"/>
    </row>
    <row r="156" spans="4:4" x14ac:dyDescent="0.25">
      <c r="D156" s="31"/>
    </row>
    <row r="157" spans="4:4" x14ac:dyDescent="0.25">
      <c r="D157" s="31"/>
    </row>
    <row r="158" spans="4:4" x14ac:dyDescent="0.25">
      <c r="D158" s="31"/>
    </row>
    <row r="159" spans="4:4" x14ac:dyDescent="0.25">
      <c r="D159" s="31"/>
    </row>
    <row r="160" spans="4:4" x14ac:dyDescent="0.25">
      <c r="D160" s="31"/>
    </row>
    <row r="161" spans="4:4" x14ac:dyDescent="0.25">
      <c r="D161" s="31"/>
    </row>
    <row r="162" spans="4:4" x14ac:dyDescent="0.25">
      <c r="D162" s="31"/>
    </row>
    <row r="163" spans="4:4" x14ac:dyDescent="0.25">
      <c r="D163" s="31"/>
    </row>
    <row r="164" spans="4:4" x14ac:dyDescent="0.25">
      <c r="D164" s="31"/>
    </row>
    <row r="165" spans="4:4" x14ac:dyDescent="0.25">
      <c r="D165" s="31"/>
    </row>
    <row r="166" spans="4:4" x14ac:dyDescent="0.25">
      <c r="D166" s="31"/>
    </row>
    <row r="167" spans="4:4" x14ac:dyDescent="0.25">
      <c r="D167" s="31"/>
    </row>
    <row r="168" spans="4:4" x14ac:dyDescent="0.25">
      <c r="D168" s="31"/>
    </row>
    <row r="169" spans="4:4" x14ac:dyDescent="0.25">
      <c r="D169" s="31"/>
    </row>
    <row r="170" spans="4:4" x14ac:dyDescent="0.25">
      <c r="D170" s="31"/>
    </row>
    <row r="171" spans="4:4" x14ac:dyDescent="0.25">
      <c r="D171" s="31"/>
    </row>
    <row r="172" spans="4:4" x14ac:dyDescent="0.25">
      <c r="D172" s="31"/>
    </row>
    <row r="173" spans="4:4" x14ac:dyDescent="0.25">
      <c r="D173" s="31"/>
    </row>
  </sheetData>
  <mergeCells count="5">
    <mergeCell ref="B2:L2"/>
    <mergeCell ref="B3:L3"/>
    <mergeCell ref="B4:L4"/>
    <mergeCell ref="B5:L5"/>
    <mergeCell ref="B6:L6"/>
  </mergeCells>
  <printOptions horizontalCentered="1"/>
  <pageMargins left="0.5" right="0.5" top="0.5" bottom="0.5" header="0.25" footer="0.25"/>
  <pageSetup scale="56" orientation="landscape" r:id="rId1"/>
  <headerFooter scaleWithDoc="0">
    <oddFooter>&amp;C&amp;"Times New Roman,Regular"&amp;10&amp;A</oddFooter>
  </headerFooter>
  <customProperties>
    <customPr name="_pios_id" r:id="rId2"/>
  </customPropertie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R59"/>
  <sheetViews>
    <sheetView zoomScale="80" zoomScaleNormal="80" workbookViewId="0">
      <selection activeCell="G34" sqref="G34"/>
    </sheetView>
  </sheetViews>
  <sheetFormatPr defaultColWidth="9.28515625" defaultRowHeight="15.75" x14ac:dyDescent="0.25"/>
  <cols>
    <col min="1" max="1" width="5.28515625" style="4" customWidth="1"/>
    <col min="2" max="2" width="8.5703125" style="31" customWidth="1"/>
    <col min="3" max="11" width="15.7109375" style="31" customWidth="1"/>
    <col min="12" max="12" width="11.28515625" style="31" customWidth="1"/>
    <col min="13" max="15" width="15.7109375" style="31" customWidth="1"/>
    <col min="16" max="16" width="5.28515625" style="4" customWidth="1"/>
    <col min="17" max="17" width="9.28515625" style="31"/>
    <col min="18" max="18" width="9.5703125" style="31" bestFit="1" customWidth="1"/>
    <col min="19" max="16384" width="9.28515625" style="31"/>
  </cols>
  <sheetData>
    <row r="1" spans="1:16" x14ac:dyDescent="0.25">
      <c r="C1" s="254"/>
    </row>
    <row r="2" spans="1:16" x14ac:dyDescent="0.25">
      <c r="B2" s="1316" t="s">
        <v>0</v>
      </c>
      <c r="C2" s="1316"/>
      <c r="D2" s="1316"/>
      <c r="E2" s="1316"/>
      <c r="F2" s="1316"/>
      <c r="G2" s="1316"/>
      <c r="H2" s="1316"/>
      <c r="I2" s="1316"/>
      <c r="J2" s="1316"/>
      <c r="K2" s="1316"/>
      <c r="L2" s="1316"/>
      <c r="M2" s="1316"/>
      <c r="N2" s="1316"/>
      <c r="O2" s="1316"/>
    </row>
    <row r="3" spans="1:16" x14ac:dyDescent="0.25">
      <c r="B3" s="1316" t="s">
        <v>1425</v>
      </c>
      <c r="C3" s="1316"/>
      <c r="D3" s="1316"/>
      <c r="E3" s="1316"/>
      <c r="F3" s="1316"/>
      <c r="G3" s="1316"/>
      <c r="H3" s="1316"/>
      <c r="I3" s="1316"/>
      <c r="J3" s="1316"/>
      <c r="K3" s="1316"/>
      <c r="L3" s="1316"/>
      <c r="M3" s="1316"/>
      <c r="N3" s="1316"/>
      <c r="O3" s="1316"/>
    </row>
    <row r="4" spans="1:16" x14ac:dyDescent="0.25">
      <c r="B4" s="1318" t="str">
        <f>'Summary of HV-LV Splits'!B4</f>
        <v>24-Month Forecast Period (January 1, 2025 - December 31, 2026)</v>
      </c>
      <c r="C4" s="1318"/>
      <c r="D4" s="1318"/>
      <c r="E4" s="1318"/>
      <c r="F4" s="1318"/>
      <c r="G4" s="1318"/>
      <c r="H4" s="1318"/>
      <c r="I4" s="1318"/>
      <c r="J4" s="1318"/>
      <c r="K4" s="1318"/>
      <c r="L4" s="1318"/>
      <c r="M4" s="1318"/>
      <c r="N4" s="1318"/>
      <c r="O4" s="1318"/>
    </row>
    <row r="5" spans="1:16" x14ac:dyDescent="0.25">
      <c r="B5" s="1316" t="s">
        <v>1451</v>
      </c>
      <c r="C5" s="1316"/>
      <c r="D5" s="1316"/>
      <c r="E5" s="1316"/>
      <c r="F5" s="1316"/>
      <c r="G5" s="1316"/>
      <c r="H5" s="1316"/>
      <c r="I5" s="1316"/>
      <c r="J5" s="1316"/>
      <c r="K5" s="1316"/>
      <c r="L5" s="1316"/>
      <c r="M5" s="1316"/>
      <c r="N5" s="1316"/>
      <c r="O5" s="1316"/>
    </row>
    <row r="6" spans="1:16" x14ac:dyDescent="0.25">
      <c r="B6" s="1316" t="s">
        <v>1452</v>
      </c>
      <c r="C6" s="1316"/>
      <c r="D6" s="1316"/>
      <c r="E6" s="1316"/>
      <c r="F6" s="1316"/>
      <c r="G6" s="1316"/>
      <c r="H6" s="1316"/>
      <c r="I6" s="1316"/>
      <c r="J6" s="1316"/>
      <c r="K6" s="1316"/>
      <c r="L6" s="1316"/>
      <c r="M6" s="1316"/>
      <c r="N6" s="1316"/>
      <c r="O6" s="1316"/>
    </row>
    <row r="7" spans="1:16" x14ac:dyDescent="0.25">
      <c r="B7" s="1342">
        <v>-1000</v>
      </c>
      <c r="C7" s="1342"/>
      <c r="D7" s="1342"/>
      <c r="E7" s="1342"/>
      <c r="F7" s="1342"/>
      <c r="G7" s="1342"/>
      <c r="H7" s="1342"/>
      <c r="I7" s="1342"/>
      <c r="J7" s="1342"/>
      <c r="K7" s="1342"/>
      <c r="L7" s="1342"/>
      <c r="M7" s="1342"/>
      <c r="N7" s="1342"/>
      <c r="O7" s="1342"/>
    </row>
    <row r="8" spans="1:16" ht="16.5" thickBot="1" x14ac:dyDescent="0.3"/>
    <row r="9" spans="1:16" s="1" customFormat="1" x14ac:dyDescent="0.25">
      <c r="A9" s="4" t="s">
        <v>5</v>
      </c>
      <c r="B9" s="230"/>
      <c r="C9" s="228" t="s">
        <v>1450</v>
      </c>
      <c r="D9" s="226"/>
      <c r="E9" s="229"/>
      <c r="F9" s="225" t="s">
        <v>1428</v>
      </c>
      <c r="G9" s="226"/>
      <c r="H9" s="227"/>
      <c r="I9" s="228" t="s">
        <v>1429</v>
      </c>
      <c r="J9" s="226"/>
      <c r="K9" s="229"/>
      <c r="L9" s="230" t="s">
        <v>1430</v>
      </c>
      <c r="M9" s="228" t="s">
        <v>1431</v>
      </c>
      <c r="N9" s="226"/>
      <c r="O9" s="227"/>
      <c r="P9" s="4" t="s">
        <v>5</v>
      </c>
    </row>
    <row r="10" spans="1:16" s="1" customFormat="1" ht="16.5" thickBot="1" x14ac:dyDescent="0.3">
      <c r="A10" s="4" t="s">
        <v>6</v>
      </c>
      <c r="B10" s="529" t="s">
        <v>1432</v>
      </c>
      <c r="C10" s="534" t="s">
        <v>1400</v>
      </c>
      <c r="D10" s="531" t="s">
        <v>1401</v>
      </c>
      <c r="E10" s="532" t="s">
        <v>180</v>
      </c>
      <c r="F10" s="530" t="s">
        <v>1400</v>
      </c>
      <c r="G10" s="531" t="s">
        <v>1401</v>
      </c>
      <c r="H10" s="533" t="s">
        <v>180</v>
      </c>
      <c r="I10" s="534" t="s">
        <v>1400</v>
      </c>
      <c r="J10" s="531" t="s">
        <v>1401</v>
      </c>
      <c r="K10" s="532" t="s">
        <v>180</v>
      </c>
      <c r="L10" s="529" t="s">
        <v>1433</v>
      </c>
      <c r="M10" s="534" t="s">
        <v>1400</v>
      </c>
      <c r="N10" s="531" t="s">
        <v>1401</v>
      </c>
      <c r="O10" s="533" t="s">
        <v>180</v>
      </c>
      <c r="P10" s="4" t="s">
        <v>6</v>
      </c>
    </row>
    <row r="11" spans="1:16" s="1" customFormat="1" x14ac:dyDescent="0.25">
      <c r="A11" s="217"/>
      <c r="B11" s="230"/>
      <c r="C11" s="217"/>
      <c r="D11" s="457"/>
      <c r="E11" s="217"/>
      <c r="F11" s="507"/>
      <c r="G11" s="458"/>
      <c r="H11" s="538"/>
      <c r="I11" s="217"/>
      <c r="J11" s="457"/>
      <c r="K11" s="217"/>
      <c r="L11" s="535"/>
      <c r="M11" s="217"/>
      <c r="N11" s="457"/>
      <c r="O11" s="538"/>
      <c r="P11" s="217"/>
    </row>
    <row r="12" spans="1:16" x14ac:dyDescent="0.25">
      <c r="A12" s="4">
        <v>1</v>
      </c>
      <c r="B12" s="539">
        <f>'ET Forecast Capital Additions'!B11</f>
        <v>45679</v>
      </c>
      <c r="C12" s="218">
        <v>0</v>
      </c>
      <c r="D12" s="673">
        <v>0</v>
      </c>
      <c r="E12" s="119">
        <f t="shared" ref="E12:E35" si="0">C12+D12</f>
        <v>0</v>
      </c>
      <c r="F12" s="175">
        <f>C12*$H$42</f>
        <v>0</v>
      </c>
      <c r="G12" s="592">
        <f>D12*$H$42</f>
        <v>0</v>
      </c>
      <c r="H12" s="219">
        <f t="shared" ref="H12:H35" si="1">F12+G12</f>
        <v>0</v>
      </c>
      <c r="I12" s="58">
        <f>C12-F12</f>
        <v>0</v>
      </c>
      <c r="J12" s="231">
        <f>D12-G12</f>
        <v>0</v>
      </c>
      <c r="K12" s="119">
        <f t="shared" ref="K12:K35" si="2">I12+J12</f>
        <v>0</v>
      </c>
      <c r="L12" s="241">
        <f>'ET Forecast Capital Additions'!$L11</f>
        <v>1</v>
      </c>
      <c r="M12" s="58">
        <f t="shared" ref="M12:M35" si="3">I12*L12</f>
        <v>0</v>
      </c>
      <c r="N12" s="231">
        <f t="shared" ref="N12:N35" si="4">J12*L12</f>
        <v>0</v>
      </c>
      <c r="O12" s="592">
        <f t="shared" ref="O12:O35" si="5">M12+N12</f>
        <v>0</v>
      </c>
      <c r="P12" s="4">
        <f>A12</f>
        <v>1</v>
      </c>
    </row>
    <row r="13" spans="1:16" x14ac:dyDescent="0.25">
      <c r="A13" s="4">
        <f t="shared" ref="A13:A50" si="6">A12+1</f>
        <v>2</v>
      </c>
      <c r="B13" s="539">
        <f>'ET Forecast Capital Additions'!B12</f>
        <v>45710</v>
      </c>
      <c r="C13" s="220">
        <v>0</v>
      </c>
      <c r="D13" s="674">
        <v>0</v>
      </c>
      <c r="E13" s="124">
        <f t="shared" si="0"/>
        <v>0</v>
      </c>
      <c r="F13" s="177">
        <f t="shared" ref="F13:G35" si="7">C13*$H$42</f>
        <v>0</v>
      </c>
      <c r="G13" s="573">
        <f t="shared" si="7"/>
        <v>0</v>
      </c>
      <c r="H13" s="127">
        <f t="shared" si="1"/>
        <v>0</v>
      </c>
      <c r="I13" s="52">
        <f t="shared" ref="I13:J35" si="8">C13-F13</f>
        <v>0</v>
      </c>
      <c r="J13" s="232">
        <f t="shared" si="8"/>
        <v>0</v>
      </c>
      <c r="K13" s="124">
        <f t="shared" si="2"/>
        <v>0</v>
      </c>
      <c r="L13" s="241">
        <f>'ET Forecast Capital Additions'!$L12</f>
        <v>1</v>
      </c>
      <c r="M13" s="52">
        <f t="shared" si="3"/>
        <v>0</v>
      </c>
      <c r="N13" s="232">
        <f t="shared" si="4"/>
        <v>0</v>
      </c>
      <c r="O13" s="573">
        <f t="shared" si="5"/>
        <v>0</v>
      </c>
      <c r="P13" s="4">
        <f t="shared" ref="P13:P50" si="9">P12+1</f>
        <v>2</v>
      </c>
    </row>
    <row r="14" spans="1:16" x14ac:dyDescent="0.25">
      <c r="A14" s="4">
        <f t="shared" si="6"/>
        <v>3</v>
      </c>
      <c r="B14" s="539">
        <f>'ET Forecast Capital Additions'!B13</f>
        <v>45738</v>
      </c>
      <c r="C14" s="220">
        <v>0</v>
      </c>
      <c r="D14" s="674">
        <v>0</v>
      </c>
      <c r="E14" s="124">
        <f t="shared" si="0"/>
        <v>0</v>
      </c>
      <c r="F14" s="177">
        <f t="shared" si="7"/>
        <v>0</v>
      </c>
      <c r="G14" s="573">
        <f t="shared" si="7"/>
        <v>0</v>
      </c>
      <c r="H14" s="127">
        <f t="shared" si="1"/>
        <v>0</v>
      </c>
      <c r="I14" s="52">
        <f t="shared" si="8"/>
        <v>0</v>
      </c>
      <c r="J14" s="232">
        <f t="shared" si="8"/>
        <v>0</v>
      </c>
      <c r="K14" s="124">
        <f t="shared" si="2"/>
        <v>0</v>
      </c>
      <c r="L14" s="241">
        <f>'ET Forecast Capital Additions'!$L13</f>
        <v>1</v>
      </c>
      <c r="M14" s="52">
        <f t="shared" si="3"/>
        <v>0</v>
      </c>
      <c r="N14" s="232">
        <f t="shared" si="4"/>
        <v>0</v>
      </c>
      <c r="O14" s="573">
        <f t="shared" si="5"/>
        <v>0</v>
      </c>
      <c r="P14" s="4">
        <f t="shared" si="9"/>
        <v>3</v>
      </c>
    </row>
    <row r="15" spans="1:16" ht="16.5" thickBot="1" x14ac:dyDescent="0.3">
      <c r="A15" s="4">
        <f t="shared" si="6"/>
        <v>4</v>
      </c>
      <c r="B15" s="540">
        <f>'ET Forecast Capital Additions'!B14</f>
        <v>45769</v>
      </c>
      <c r="C15" s="221">
        <v>0</v>
      </c>
      <c r="D15" s="207">
        <v>0</v>
      </c>
      <c r="E15" s="179">
        <f t="shared" si="0"/>
        <v>0</v>
      </c>
      <c r="F15" s="180">
        <f t="shared" si="7"/>
        <v>0</v>
      </c>
      <c r="G15" s="182">
        <f t="shared" si="7"/>
        <v>0</v>
      </c>
      <c r="H15" s="212">
        <f t="shared" si="1"/>
        <v>0</v>
      </c>
      <c r="I15" s="183">
        <f t="shared" si="8"/>
        <v>0</v>
      </c>
      <c r="J15" s="181">
        <f t="shared" si="8"/>
        <v>0</v>
      </c>
      <c r="K15" s="179">
        <f t="shared" si="2"/>
        <v>0</v>
      </c>
      <c r="L15" s="242">
        <f>'ET Forecast Capital Additions'!$L14</f>
        <v>1</v>
      </c>
      <c r="M15" s="183">
        <f t="shared" si="3"/>
        <v>0</v>
      </c>
      <c r="N15" s="181">
        <f t="shared" si="4"/>
        <v>0</v>
      </c>
      <c r="O15" s="182">
        <f t="shared" si="5"/>
        <v>0</v>
      </c>
      <c r="P15" s="4">
        <f t="shared" si="9"/>
        <v>4</v>
      </c>
    </row>
    <row r="16" spans="1:16" x14ac:dyDescent="0.25">
      <c r="A16" s="4">
        <f t="shared" si="6"/>
        <v>5</v>
      </c>
      <c r="B16" s="539">
        <f>'ET Forecast Capital Additions'!B15</f>
        <v>45799</v>
      </c>
      <c r="C16" s="222">
        <v>0</v>
      </c>
      <c r="D16" s="184">
        <v>0</v>
      </c>
      <c r="E16" s="122">
        <f t="shared" si="0"/>
        <v>0</v>
      </c>
      <c r="F16" s="185">
        <f t="shared" si="7"/>
        <v>0</v>
      </c>
      <c r="G16" s="123">
        <f t="shared" si="7"/>
        <v>0</v>
      </c>
      <c r="H16" s="223">
        <f t="shared" si="1"/>
        <v>0</v>
      </c>
      <c r="I16" s="52">
        <f t="shared" si="8"/>
        <v>0</v>
      </c>
      <c r="J16" s="232">
        <f t="shared" si="8"/>
        <v>0</v>
      </c>
      <c r="K16" s="122">
        <f t="shared" si="2"/>
        <v>0</v>
      </c>
      <c r="L16" s="243">
        <f>'ET Forecast Capital Additions'!$L15</f>
        <v>1</v>
      </c>
      <c r="M16" s="52">
        <f t="shared" si="3"/>
        <v>0</v>
      </c>
      <c r="N16" s="232">
        <f t="shared" si="4"/>
        <v>0</v>
      </c>
      <c r="O16" s="123">
        <f t="shared" si="5"/>
        <v>0</v>
      </c>
      <c r="P16" s="4">
        <f t="shared" si="9"/>
        <v>5</v>
      </c>
    </row>
    <row r="17" spans="1:16" x14ac:dyDescent="0.25">
      <c r="A17" s="4">
        <f t="shared" si="6"/>
        <v>6</v>
      </c>
      <c r="B17" s="539">
        <f>'ET Forecast Capital Additions'!B16</f>
        <v>45830</v>
      </c>
      <c r="C17" s="220">
        <v>0</v>
      </c>
      <c r="D17" s="674">
        <v>0</v>
      </c>
      <c r="E17" s="124">
        <f t="shared" si="0"/>
        <v>0</v>
      </c>
      <c r="F17" s="177">
        <f t="shared" si="7"/>
        <v>0</v>
      </c>
      <c r="G17" s="573">
        <f t="shared" si="7"/>
        <v>0</v>
      </c>
      <c r="H17" s="127">
        <f t="shared" si="1"/>
        <v>0</v>
      </c>
      <c r="I17" s="52">
        <f t="shared" si="8"/>
        <v>0</v>
      </c>
      <c r="J17" s="232">
        <f t="shared" si="8"/>
        <v>0</v>
      </c>
      <c r="K17" s="124">
        <f t="shared" si="2"/>
        <v>0</v>
      </c>
      <c r="L17" s="241">
        <f>'ET Forecast Capital Additions'!$L16</f>
        <v>1</v>
      </c>
      <c r="M17" s="52">
        <f t="shared" si="3"/>
        <v>0</v>
      </c>
      <c r="N17" s="232">
        <f t="shared" si="4"/>
        <v>0</v>
      </c>
      <c r="O17" s="573">
        <f t="shared" si="5"/>
        <v>0</v>
      </c>
      <c r="P17" s="4">
        <f t="shared" si="9"/>
        <v>6</v>
      </c>
    </row>
    <row r="18" spans="1:16" x14ac:dyDescent="0.25">
      <c r="A18" s="4">
        <f t="shared" si="6"/>
        <v>7</v>
      </c>
      <c r="B18" s="539">
        <f>'ET Forecast Capital Additions'!B17</f>
        <v>45860</v>
      </c>
      <c r="C18" s="220">
        <v>0</v>
      </c>
      <c r="D18" s="674">
        <v>0</v>
      </c>
      <c r="E18" s="124">
        <f t="shared" si="0"/>
        <v>0</v>
      </c>
      <c r="F18" s="177">
        <f t="shared" si="7"/>
        <v>0</v>
      </c>
      <c r="G18" s="573">
        <f t="shared" si="7"/>
        <v>0</v>
      </c>
      <c r="H18" s="127">
        <f t="shared" si="1"/>
        <v>0</v>
      </c>
      <c r="I18" s="52">
        <f t="shared" si="8"/>
        <v>0</v>
      </c>
      <c r="J18" s="232">
        <f t="shared" si="8"/>
        <v>0</v>
      </c>
      <c r="K18" s="124">
        <f t="shared" si="2"/>
        <v>0</v>
      </c>
      <c r="L18" s="241">
        <f>'ET Forecast Capital Additions'!$L17</f>
        <v>1</v>
      </c>
      <c r="M18" s="52">
        <f t="shared" si="3"/>
        <v>0</v>
      </c>
      <c r="N18" s="232">
        <f t="shared" si="4"/>
        <v>0</v>
      </c>
      <c r="O18" s="573">
        <f t="shared" si="5"/>
        <v>0</v>
      </c>
      <c r="P18" s="4">
        <f t="shared" si="9"/>
        <v>7</v>
      </c>
    </row>
    <row r="19" spans="1:16" ht="16.5" thickBot="1" x14ac:dyDescent="0.3">
      <c r="A19" s="4">
        <f t="shared" si="6"/>
        <v>8</v>
      </c>
      <c r="B19" s="540">
        <f>'ET Forecast Capital Additions'!B18</f>
        <v>45891</v>
      </c>
      <c r="C19" s="221">
        <v>0</v>
      </c>
      <c r="D19" s="207">
        <v>0</v>
      </c>
      <c r="E19" s="179">
        <f t="shared" si="0"/>
        <v>0</v>
      </c>
      <c r="F19" s="180">
        <f t="shared" si="7"/>
        <v>0</v>
      </c>
      <c r="G19" s="182">
        <f t="shared" si="7"/>
        <v>0</v>
      </c>
      <c r="H19" s="212">
        <f t="shared" si="1"/>
        <v>0</v>
      </c>
      <c r="I19" s="183">
        <f t="shared" si="8"/>
        <v>0</v>
      </c>
      <c r="J19" s="181">
        <f t="shared" si="8"/>
        <v>0</v>
      </c>
      <c r="K19" s="179">
        <f t="shared" si="2"/>
        <v>0</v>
      </c>
      <c r="L19" s="242">
        <f>'ET Forecast Capital Additions'!$L18</f>
        <v>1</v>
      </c>
      <c r="M19" s="183">
        <f t="shared" si="3"/>
        <v>0</v>
      </c>
      <c r="N19" s="181">
        <f t="shared" si="4"/>
        <v>0</v>
      </c>
      <c r="O19" s="182">
        <f t="shared" si="5"/>
        <v>0</v>
      </c>
      <c r="P19" s="4">
        <f t="shared" si="9"/>
        <v>8</v>
      </c>
    </row>
    <row r="20" spans="1:16" x14ac:dyDescent="0.25">
      <c r="A20" s="4">
        <f t="shared" si="6"/>
        <v>9</v>
      </c>
      <c r="B20" s="539">
        <f>'ET Forecast Capital Additions'!B19</f>
        <v>45922</v>
      </c>
      <c r="C20" s="222">
        <v>0</v>
      </c>
      <c r="D20" s="184">
        <v>0</v>
      </c>
      <c r="E20" s="122">
        <f t="shared" si="0"/>
        <v>0</v>
      </c>
      <c r="F20" s="185">
        <f t="shared" si="7"/>
        <v>0</v>
      </c>
      <c r="G20" s="123">
        <f t="shared" si="7"/>
        <v>0</v>
      </c>
      <c r="H20" s="223">
        <f t="shared" si="1"/>
        <v>0</v>
      </c>
      <c r="I20" s="52">
        <f t="shared" si="8"/>
        <v>0</v>
      </c>
      <c r="J20" s="232">
        <f t="shared" si="8"/>
        <v>0</v>
      </c>
      <c r="K20" s="122">
        <f t="shared" si="2"/>
        <v>0</v>
      </c>
      <c r="L20" s="243">
        <f>'ET Forecast Capital Additions'!$L19</f>
        <v>1</v>
      </c>
      <c r="M20" s="52">
        <f t="shared" si="3"/>
        <v>0</v>
      </c>
      <c r="N20" s="232">
        <f t="shared" si="4"/>
        <v>0</v>
      </c>
      <c r="O20" s="123">
        <f t="shared" si="5"/>
        <v>0</v>
      </c>
      <c r="P20" s="4">
        <f t="shared" si="9"/>
        <v>9</v>
      </c>
    </row>
    <row r="21" spans="1:16" x14ac:dyDescent="0.25">
      <c r="A21" s="4">
        <f t="shared" si="6"/>
        <v>10</v>
      </c>
      <c r="B21" s="539">
        <f>'ET Forecast Capital Additions'!B20</f>
        <v>45952</v>
      </c>
      <c r="C21" s="220">
        <v>0</v>
      </c>
      <c r="D21" s="674">
        <v>0</v>
      </c>
      <c r="E21" s="124">
        <f t="shared" si="0"/>
        <v>0</v>
      </c>
      <c r="F21" s="177">
        <f t="shared" si="7"/>
        <v>0</v>
      </c>
      <c r="G21" s="573">
        <f t="shared" si="7"/>
        <v>0</v>
      </c>
      <c r="H21" s="127">
        <f t="shared" si="1"/>
        <v>0</v>
      </c>
      <c r="I21" s="52">
        <f t="shared" si="8"/>
        <v>0</v>
      </c>
      <c r="J21" s="232">
        <f t="shared" si="8"/>
        <v>0</v>
      </c>
      <c r="K21" s="124">
        <f t="shared" si="2"/>
        <v>0</v>
      </c>
      <c r="L21" s="241">
        <f>'ET Forecast Capital Additions'!$L20</f>
        <v>1</v>
      </c>
      <c r="M21" s="52">
        <f t="shared" si="3"/>
        <v>0</v>
      </c>
      <c r="N21" s="232">
        <f t="shared" si="4"/>
        <v>0</v>
      </c>
      <c r="O21" s="573">
        <f t="shared" si="5"/>
        <v>0</v>
      </c>
      <c r="P21" s="4">
        <f t="shared" si="9"/>
        <v>10</v>
      </c>
    </row>
    <row r="22" spans="1:16" x14ac:dyDescent="0.25">
      <c r="A22" s="4">
        <f t="shared" si="6"/>
        <v>11</v>
      </c>
      <c r="B22" s="539">
        <f>'ET Forecast Capital Additions'!B21</f>
        <v>45983</v>
      </c>
      <c r="C22" s="111">
        <v>0</v>
      </c>
      <c r="D22" s="674">
        <v>0</v>
      </c>
      <c r="E22" s="6">
        <f t="shared" si="0"/>
        <v>0</v>
      </c>
      <c r="F22" s="177">
        <f t="shared" si="7"/>
        <v>0</v>
      </c>
      <c r="G22" s="573">
        <f t="shared" si="7"/>
        <v>0</v>
      </c>
      <c r="H22" s="127">
        <f t="shared" si="1"/>
        <v>0</v>
      </c>
      <c r="I22" s="52">
        <f t="shared" si="8"/>
        <v>0</v>
      </c>
      <c r="J22" s="232">
        <f t="shared" si="8"/>
        <v>0</v>
      </c>
      <c r="K22" s="6">
        <f t="shared" si="2"/>
        <v>0</v>
      </c>
      <c r="L22" s="241">
        <f>'ET Forecast Capital Additions'!$L21</f>
        <v>1</v>
      </c>
      <c r="M22" s="52">
        <f t="shared" si="3"/>
        <v>0</v>
      </c>
      <c r="N22" s="232">
        <f t="shared" si="4"/>
        <v>0</v>
      </c>
      <c r="O22" s="127">
        <f t="shared" si="5"/>
        <v>0</v>
      </c>
      <c r="P22" s="4">
        <f t="shared" si="9"/>
        <v>11</v>
      </c>
    </row>
    <row r="23" spans="1:16" ht="16.5" thickBot="1" x14ac:dyDescent="0.3">
      <c r="A23" s="4">
        <f t="shared" si="6"/>
        <v>12</v>
      </c>
      <c r="B23" s="540">
        <f>'ET Forecast Capital Additions'!B22</f>
        <v>46013</v>
      </c>
      <c r="C23" s="221">
        <v>0</v>
      </c>
      <c r="D23" s="207">
        <v>0</v>
      </c>
      <c r="E23" s="179">
        <f t="shared" si="0"/>
        <v>0</v>
      </c>
      <c r="F23" s="180">
        <f t="shared" si="7"/>
        <v>0</v>
      </c>
      <c r="G23" s="182">
        <f t="shared" si="7"/>
        <v>0</v>
      </c>
      <c r="H23" s="212">
        <f t="shared" si="1"/>
        <v>0</v>
      </c>
      <c r="I23" s="183">
        <f t="shared" si="8"/>
        <v>0</v>
      </c>
      <c r="J23" s="181">
        <f t="shared" si="8"/>
        <v>0</v>
      </c>
      <c r="K23" s="179">
        <f t="shared" si="2"/>
        <v>0</v>
      </c>
      <c r="L23" s="242">
        <f>'ET Forecast Capital Additions'!$L22</f>
        <v>1</v>
      </c>
      <c r="M23" s="183">
        <f t="shared" si="3"/>
        <v>0</v>
      </c>
      <c r="N23" s="181">
        <f t="shared" si="4"/>
        <v>0</v>
      </c>
      <c r="O23" s="182">
        <f t="shared" si="5"/>
        <v>0</v>
      </c>
      <c r="P23" s="4">
        <f t="shared" si="9"/>
        <v>12</v>
      </c>
    </row>
    <row r="24" spans="1:16" x14ac:dyDescent="0.25">
      <c r="A24" s="4">
        <f t="shared" si="6"/>
        <v>13</v>
      </c>
      <c r="B24" s="539">
        <f>'ET Forecast Capital Additions'!B23</f>
        <v>46044</v>
      </c>
      <c r="C24" s="222">
        <v>0</v>
      </c>
      <c r="D24" s="184">
        <v>0</v>
      </c>
      <c r="E24" s="122">
        <f t="shared" si="0"/>
        <v>0</v>
      </c>
      <c r="F24" s="185">
        <f t="shared" si="7"/>
        <v>0</v>
      </c>
      <c r="G24" s="123">
        <f t="shared" si="7"/>
        <v>0</v>
      </c>
      <c r="H24" s="223">
        <f t="shared" si="1"/>
        <v>0</v>
      </c>
      <c r="I24" s="52">
        <f t="shared" si="8"/>
        <v>0</v>
      </c>
      <c r="J24" s="232">
        <f t="shared" si="8"/>
        <v>0</v>
      </c>
      <c r="K24" s="122">
        <f t="shared" si="2"/>
        <v>0</v>
      </c>
      <c r="L24" s="243">
        <f>'ET Forecast Capital Additions'!$L23</f>
        <v>1</v>
      </c>
      <c r="M24" s="52">
        <f t="shared" si="3"/>
        <v>0</v>
      </c>
      <c r="N24" s="232">
        <f t="shared" si="4"/>
        <v>0</v>
      </c>
      <c r="O24" s="123">
        <f t="shared" si="5"/>
        <v>0</v>
      </c>
      <c r="P24" s="4">
        <f t="shared" si="9"/>
        <v>13</v>
      </c>
    </row>
    <row r="25" spans="1:16" x14ac:dyDescent="0.25">
      <c r="A25" s="4">
        <f t="shared" si="6"/>
        <v>14</v>
      </c>
      <c r="B25" s="539">
        <f>'ET Forecast Capital Additions'!B24</f>
        <v>46075</v>
      </c>
      <c r="C25" s="220">
        <v>0</v>
      </c>
      <c r="D25" s="674">
        <v>0</v>
      </c>
      <c r="E25" s="124">
        <f t="shared" si="0"/>
        <v>0</v>
      </c>
      <c r="F25" s="177">
        <f t="shared" si="7"/>
        <v>0</v>
      </c>
      <c r="G25" s="573">
        <f t="shared" si="7"/>
        <v>0</v>
      </c>
      <c r="H25" s="127">
        <f t="shared" si="1"/>
        <v>0</v>
      </c>
      <c r="I25" s="52">
        <f t="shared" si="8"/>
        <v>0</v>
      </c>
      <c r="J25" s="232">
        <f t="shared" si="8"/>
        <v>0</v>
      </c>
      <c r="K25" s="124">
        <f t="shared" si="2"/>
        <v>0</v>
      </c>
      <c r="L25" s="241">
        <f>'ET Forecast Capital Additions'!$L24</f>
        <v>0.91666666666666663</v>
      </c>
      <c r="M25" s="52">
        <f t="shared" si="3"/>
        <v>0</v>
      </c>
      <c r="N25" s="232">
        <f t="shared" si="4"/>
        <v>0</v>
      </c>
      <c r="O25" s="573">
        <f t="shared" si="5"/>
        <v>0</v>
      </c>
      <c r="P25" s="4">
        <f t="shared" si="9"/>
        <v>14</v>
      </c>
    </row>
    <row r="26" spans="1:16" x14ac:dyDescent="0.25">
      <c r="A26" s="4">
        <f t="shared" si="6"/>
        <v>15</v>
      </c>
      <c r="B26" s="539">
        <f>'ET Forecast Capital Additions'!B25</f>
        <v>46103</v>
      </c>
      <c r="C26" s="220">
        <v>0</v>
      </c>
      <c r="D26" s="674">
        <v>0</v>
      </c>
      <c r="E26" s="124">
        <f t="shared" si="0"/>
        <v>0</v>
      </c>
      <c r="F26" s="177">
        <f t="shared" si="7"/>
        <v>0</v>
      </c>
      <c r="G26" s="573">
        <f t="shared" si="7"/>
        <v>0</v>
      </c>
      <c r="H26" s="127">
        <f t="shared" si="1"/>
        <v>0</v>
      </c>
      <c r="I26" s="52">
        <f t="shared" si="8"/>
        <v>0</v>
      </c>
      <c r="J26" s="232">
        <f t="shared" si="8"/>
        <v>0</v>
      </c>
      <c r="K26" s="124">
        <f t="shared" si="2"/>
        <v>0</v>
      </c>
      <c r="L26" s="241">
        <f>'ET Forecast Capital Additions'!$L25</f>
        <v>0.83333333333333337</v>
      </c>
      <c r="M26" s="52">
        <f t="shared" si="3"/>
        <v>0</v>
      </c>
      <c r="N26" s="232">
        <f t="shared" si="4"/>
        <v>0</v>
      </c>
      <c r="O26" s="573">
        <f t="shared" si="5"/>
        <v>0</v>
      </c>
      <c r="P26" s="4">
        <f t="shared" si="9"/>
        <v>15</v>
      </c>
    </row>
    <row r="27" spans="1:16" ht="16.5" thickBot="1" x14ac:dyDescent="0.3">
      <c r="A27" s="4">
        <f t="shared" si="6"/>
        <v>16</v>
      </c>
      <c r="B27" s="540">
        <f>'ET Forecast Capital Additions'!B26</f>
        <v>46134</v>
      </c>
      <c r="C27" s="221">
        <v>0</v>
      </c>
      <c r="D27" s="207">
        <v>0</v>
      </c>
      <c r="E27" s="179">
        <f t="shared" si="0"/>
        <v>0</v>
      </c>
      <c r="F27" s="180">
        <f t="shared" si="7"/>
        <v>0</v>
      </c>
      <c r="G27" s="182">
        <f t="shared" si="7"/>
        <v>0</v>
      </c>
      <c r="H27" s="212">
        <f t="shared" si="1"/>
        <v>0</v>
      </c>
      <c r="I27" s="183">
        <f t="shared" si="8"/>
        <v>0</v>
      </c>
      <c r="J27" s="181">
        <f t="shared" si="8"/>
        <v>0</v>
      </c>
      <c r="K27" s="179">
        <f t="shared" si="2"/>
        <v>0</v>
      </c>
      <c r="L27" s="242">
        <f>'ET Forecast Capital Additions'!$L26</f>
        <v>0.75</v>
      </c>
      <c r="M27" s="183">
        <f t="shared" si="3"/>
        <v>0</v>
      </c>
      <c r="N27" s="181">
        <f t="shared" si="4"/>
        <v>0</v>
      </c>
      <c r="O27" s="182">
        <f t="shared" si="5"/>
        <v>0</v>
      </c>
      <c r="P27" s="4">
        <f t="shared" si="9"/>
        <v>16</v>
      </c>
    </row>
    <row r="28" spans="1:16" x14ac:dyDescent="0.25">
      <c r="A28" s="4">
        <f t="shared" si="6"/>
        <v>17</v>
      </c>
      <c r="B28" s="539">
        <f>'ET Forecast Capital Additions'!B27</f>
        <v>46164</v>
      </c>
      <c r="C28" s="111">
        <v>0</v>
      </c>
      <c r="D28" s="674">
        <v>0</v>
      </c>
      <c r="E28" s="6">
        <f t="shared" si="0"/>
        <v>0</v>
      </c>
      <c r="F28" s="185">
        <f t="shared" si="7"/>
        <v>0</v>
      </c>
      <c r="G28" s="123">
        <f t="shared" si="7"/>
        <v>0</v>
      </c>
      <c r="H28" s="127">
        <f t="shared" si="1"/>
        <v>0</v>
      </c>
      <c r="I28" s="52">
        <f t="shared" si="8"/>
        <v>0</v>
      </c>
      <c r="J28" s="232">
        <f t="shared" si="8"/>
        <v>0</v>
      </c>
      <c r="K28" s="6">
        <f t="shared" si="2"/>
        <v>0</v>
      </c>
      <c r="L28" s="243">
        <f>'ET Forecast Capital Additions'!$L27</f>
        <v>0.66666666666666663</v>
      </c>
      <c r="M28" s="52">
        <f t="shared" si="3"/>
        <v>0</v>
      </c>
      <c r="N28" s="232">
        <f t="shared" si="4"/>
        <v>0</v>
      </c>
      <c r="O28" s="127">
        <f t="shared" si="5"/>
        <v>0</v>
      </c>
      <c r="P28" s="4">
        <f t="shared" si="9"/>
        <v>17</v>
      </c>
    </row>
    <row r="29" spans="1:16" x14ac:dyDescent="0.25">
      <c r="A29" s="4">
        <f t="shared" si="6"/>
        <v>18</v>
      </c>
      <c r="B29" s="539">
        <f>'ET Forecast Capital Additions'!B28</f>
        <v>46195</v>
      </c>
      <c r="C29" s="220">
        <v>0</v>
      </c>
      <c r="D29" s="674">
        <v>0</v>
      </c>
      <c r="E29" s="124">
        <f t="shared" si="0"/>
        <v>0</v>
      </c>
      <c r="F29" s="177">
        <f t="shared" si="7"/>
        <v>0</v>
      </c>
      <c r="G29" s="573">
        <f t="shared" si="7"/>
        <v>0</v>
      </c>
      <c r="H29" s="127">
        <f t="shared" si="1"/>
        <v>0</v>
      </c>
      <c r="I29" s="52">
        <f t="shared" si="8"/>
        <v>0</v>
      </c>
      <c r="J29" s="232">
        <f t="shared" si="8"/>
        <v>0</v>
      </c>
      <c r="K29" s="124">
        <f t="shared" si="2"/>
        <v>0</v>
      </c>
      <c r="L29" s="241">
        <f>'ET Forecast Capital Additions'!$L28</f>
        <v>0.58333333333333337</v>
      </c>
      <c r="M29" s="52">
        <f t="shared" si="3"/>
        <v>0</v>
      </c>
      <c r="N29" s="232">
        <f t="shared" si="4"/>
        <v>0</v>
      </c>
      <c r="O29" s="573">
        <f t="shared" si="5"/>
        <v>0</v>
      </c>
      <c r="P29" s="4">
        <f t="shared" si="9"/>
        <v>18</v>
      </c>
    </row>
    <row r="30" spans="1:16" x14ac:dyDescent="0.25">
      <c r="A30" s="4">
        <f t="shared" si="6"/>
        <v>19</v>
      </c>
      <c r="B30" s="539">
        <f>'ET Forecast Capital Additions'!B29</f>
        <v>46225</v>
      </c>
      <c r="C30" s="220">
        <v>0</v>
      </c>
      <c r="D30" s="674">
        <v>0</v>
      </c>
      <c r="E30" s="124">
        <f t="shared" si="0"/>
        <v>0</v>
      </c>
      <c r="F30" s="177">
        <f t="shared" si="7"/>
        <v>0</v>
      </c>
      <c r="G30" s="573">
        <f t="shared" si="7"/>
        <v>0</v>
      </c>
      <c r="H30" s="127">
        <f t="shared" si="1"/>
        <v>0</v>
      </c>
      <c r="I30" s="52">
        <f t="shared" si="8"/>
        <v>0</v>
      </c>
      <c r="J30" s="232">
        <f t="shared" si="8"/>
        <v>0</v>
      </c>
      <c r="K30" s="124">
        <f t="shared" si="2"/>
        <v>0</v>
      </c>
      <c r="L30" s="241">
        <f>'ET Forecast Capital Additions'!$L29</f>
        <v>0.5</v>
      </c>
      <c r="M30" s="52">
        <f t="shared" si="3"/>
        <v>0</v>
      </c>
      <c r="N30" s="232">
        <f t="shared" si="4"/>
        <v>0</v>
      </c>
      <c r="O30" s="573">
        <f t="shared" si="5"/>
        <v>0</v>
      </c>
      <c r="P30" s="4">
        <f t="shared" si="9"/>
        <v>19</v>
      </c>
    </row>
    <row r="31" spans="1:16" ht="16.5" thickBot="1" x14ac:dyDescent="0.3">
      <c r="A31" s="4">
        <f t="shared" si="6"/>
        <v>20</v>
      </c>
      <c r="B31" s="540">
        <f>'ET Forecast Capital Additions'!B30</f>
        <v>46256</v>
      </c>
      <c r="C31" s="221">
        <v>0</v>
      </c>
      <c r="D31" s="207">
        <v>0</v>
      </c>
      <c r="E31" s="179">
        <f t="shared" si="0"/>
        <v>0</v>
      </c>
      <c r="F31" s="180">
        <f t="shared" si="7"/>
        <v>0</v>
      </c>
      <c r="G31" s="182">
        <f t="shared" si="7"/>
        <v>0</v>
      </c>
      <c r="H31" s="212">
        <f t="shared" si="1"/>
        <v>0</v>
      </c>
      <c r="I31" s="183">
        <f t="shared" si="8"/>
        <v>0</v>
      </c>
      <c r="J31" s="181">
        <f t="shared" si="8"/>
        <v>0</v>
      </c>
      <c r="K31" s="179">
        <f t="shared" si="2"/>
        <v>0</v>
      </c>
      <c r="L31" s="242">
        <f>'ET Forecast Capital Additions'!$L30</f>
        <v>0.41666666666666669</v>
      </c>
      <c r="M31" s="183">
        <f t="shared" si="3"/>
        <v>0</v>
      </c>
      <c r="N31" s="181">
        <f t="shared" si="4"/>
        <v>0</v>
      </c>
      <c r="O31" s="182">
        <f t="shared" si="5"/>
        <v>0</v>
      </c>
      <c r="P31" s="4">
        <f t="shared" si="9"/>
        <v>20</v>
      </c>
    </row>
    <row r="32" spans="1:16" x14ac:dyDescent="0.25">
      <c r="A32" s="4">
        <f t="shared" si="6"/>
        <v>21</v>
      </c>
      <c r="B32" s="539">
        <f>'ET Forecast Capital Additions'!B31</f>
        <v>46287</v>
      </c>
      <c r="C32" s="220">
        <v>0</v>
      </c>
      <c r="D32" s="674">
        <v>0</v>
      </c>
      <c r="E32" s="124">
        <f t="shared" si="0"/>
        <v>0</v>
      </c>
      <c r="F32" s="177">
        <f t="shared" si="7"/>
        <v>0</v>
      </c>
      <c r="G32" s="232">
        <f t="shared" si="7"/>
        <v>0</v>
      </c>
      <c r="H32" s="573">
        <f t="shared" si="1"/>
        <v>0</v>
      </c>
      <c r="I32" s="52">
        <f t="shared" si="8"/>
        <v>0</v>
      </c>
      <c r="J32" s="232">
        <f t="shared" si="8"/>
        <v>0</v>
      </c>
      <c r="K32" s="124">
        <f t="shared" si="2"/>
        <v>0</v>
      </c>
      <c r="L32" s="243">
        <f>'ET Forecast Capital Additions'!$L31</f>
        <v>0.33333333333333331</v>
      </c>
      <c r="M32" s="52">
        <f t="shared" si="3"/>
        <v>0</v>
      </c>
      <c r="N32" s="232">
        <f t="shared" si="4"/>
        <v>0</v>
      </c>
      <c r="O32" s="573">
        <f t="shared" si="5"/>
        <v>0</v>
      </c>
      <c r="P32" s="4">
        <f t="shared" si="9"/>
        <v>21</v>
      </c>
    </row>
    <row r="33" spans="1:18" x14ac:dyDescent="0.25">
      <c r="A33" s="4">
        <f t="shared" si="6"/>
        <v>22</v>
      </c>
      <c r="B33" s="539">
        <f>'ET Forecast Capital Additions'!B32</f>
        <v>46317</v>
      </c>
      <c r="C33" s="111">
        <v>0</v>
      </c>
      <c r="D33" s="674">
        <v>0</v>
      </c>
      <c r="E33" s="6">
        <f t="shared" si="0"/>
        <v>0</v>
      </c>
      <c r="F33" s="177">
        <f t="shared" si="7"/>
        <v>0</v>
      </c>
      <c r="G33" s="232">
        <f t="shared" si="7"/>
        <v>0</v>
      </c>
      <c r="H33" s="127">
        <f t="shared" si="1"/>
        <v>0</v>
      </c>
      <c r="I33" s="52">
        <f t="shared" si="8"/>
        <v>0</v>
      </c>
      <c r="J33" s="232">
        <f t="shared" si="8"/>
        <v>0</v>
      </c>
      <c r="K33" s="6">
        <f t="shared" si="2"/>
        <v>0</v>
      </c>
      <c r="L33" s="241">
        <f>'ET Forecast Capital Additions'!$L32</f>
        <v>0.25</v>
      </c>
      <c r="M33" s="52">
        <f t="shared" si="3"/>
        <v>0</v>
      </c>
      <c r="N33" s="232">
        <f t="shared" si="4"/>
        <v>0</v>
      </c>
      <c r="O33" s="127">
        <f t="shared" si="5"/>
        <v>0</v>
      </c>
      <c r="P33" s="4">
        <f t="shared" si="9"/>
        <v>22</v>
      </c>
    </row>
    <row r="34" spans="1:18" x14ac:dyDescent="0.25">
      <c r="A34" s="4">
        <f t="shared" si="6"/>
        <v>23</v>
      </c>
      <c r="B34" s="539">
        <f>'ET Forecast Capital Additions'!B33</f>
        <v>46348</v>
      </c>
      <c r="C34" s="220">
        <v>0</v>
      </c>
      <c r="D34" s="674">
        <v>0</v>
      </c>
      <c r="E34" s="124">
        <f t="shared" si="0"/>
        <v>0</v>
      </c>
      <c r="F34" s="177">
        <f t="shared" si="7"/>
        <v>0</v>
      </c>
      <c r="G34" s="232">
        <f t="shared" si="7"/>
        <v>0</v>
      </c>
      <c r="H34" s="573">
        <f t="shared" si="1"/>
        <v>0</v>
      </c>
      <c r="I34" s="52">
        <f t="shared" si="8"/>
        <v>0</v>
      </c>
      <c r="J34" s="232">
        <f t="shared" si="8"/>
        <v>0</v>
      </c>
      <c r="K34" s="124">
        <f t="shared" si="2"/>
        <v>0</v>
      </c>
      <c r="L34" s="241">
        <f>'ET Forecast Capital Additions'!$L33</f>
        <v>0.16666666666666666</v>
      </c>
      <c r="M34" s="52">
        <f t="shared" si="3"/>
        <v>0</v>
      </c>
      <c r="N34" s="232">
        <f t="shared" si="4"/>
        <v>0</v>
      </c>
      <c r="O34" s="573">
        <f t="shared" si="5"/>
        <v>0</v>
      </c>
      <c r="P34" s="4">
        <f t="shared" si="9"/>
        <v>23</v>
      </c>
    </row>
    <row r="35" spans="1:18" ht="16.5" thickBot="1" x14ac:dyDescent="0.3">
      <c r="A35" s="4">
        <f t="shared" si="6"/>
        <v>24</v>
      </c>
      <c r="B35" s="539">
        <f>'ET Forecast Capital Additions'!B34</f>
        <v>46378</v>
      </c>
      <c r="C35" s="220">
        <v>0</v>
      </c>
      <c r="D35" s="674">
        <v>0</v>
      </c>
      <c r="E35" s="124">
        <f t="shared" si="0"/>
        <v>0</v>
      </c>
      <c r="F35" s="177">
        <f t="shared" si="7"/>
        <v>0</v>
      </c>
      <c r="G35" s="232">
        <f t="shared" si="7"/>
        <v>0</v>
      </c>
      <c r="H35" s="573">
        <f t="shared" si="1"/>
        <v>0</v>
      </c>
      <c r="I35" s="183">
        <f t="shared" si="8"/>
        <v>0</v>
      </c>
      <c r="J35" s="181">
        <f t="shared" si="8"/>
        <v>0</v>
      </c>
      <c r="K35" s="124">
        <f t="shared" si="2"/>
        <v>0</v>
      </c>
      <c r="L35" s="241">
        <f>'ET Forecast Capital Additions'!$L34</f>
        <v>8.3333333333333329E-2</v>
      </c>
      <c r="M35" s="183">
        <f t="shared" si="3"/>
        <v>0</v>
      </c>
      <c r="N35" s="181">
        <f t="shared" si="4"/>
        <v>0</v>
      </c>
      <c r="O35" s="573">
        <f t="shared" si="5"/>
        <v>0</v>
      </c>
      <c r="P35" s="4">
        <f t="shared" si="9"/>
        <v>24</v>
      </c>
      <c r="R35" s="427"/>
    </row>
    <row r="36" spans="1:18" ht="16.5" thickBot="1" x14ac:dyDescent="0.3">
      <c r="A36" s="4">
        <f t="shared" si="6"/>
        <v>25</v>
      </c>
      <c r="B36" s="541" t="s">
        <v>180</v>
      </c>
      <c r="C36" s="191">
        <f t="shared" ref="C36:K36" si="10">SUM(C12:C35)</f>
        <v>0</v>
      </c>
      <c r="D36" s="188">
        <f t="shared" si="10"/>
        <v>0</v>
      </c>
      <c r="E36" s="189">
        <f t="shared" si="10"/>
        <v>0</v>
      </c>
      <c r="F36" s="187">
        <f t="shared" si="10"/>
        <v>0</v>
      </c>
      <c r="G36" s="188">
        <f t="shared" si="10"/>
        <v>0</v>
      </c>
      <c r="H36" s="190">
        <f t="shared" si="10"/>
        <v>0</v>
      </c>
      <c r="I36" s="191">
        <f t="shared" si="10"/>
        <v>0</v>
      </c>
      <c r="J36" s="188">
        <f t="shared" si="10"/>
        <v>0</v>
      </c>
      <c r="K36" s="189">
        <f t="shared" si="10"/>
        <v>0</v>
      </c>
      <c r="L36" s="192"/>
      <c r="M36" s="191">
        <f>SUM(M12:M35)</f>
        <v>0</v>
      </c>
      <c r="N36" s="188">
        <f>SUM(N12:N35)</f>
        <v>0</v>
      </c>
      <c r="O36" s="190">
        <f>SUM(O12:O35)</f>
        <v>0</v>
      </c>
      <c r="P36" s="4">
        <f t="shared" si="9"/>
        <v>25</v>
      </c>
    </row>
    <row r="37" spans="1:18" x14ac:dyDescent="0.25">
      <c r="A37" s="4">
        <f>A36+1</f>
        <v>26</v>
      </c>
      <c r="B37" s="515"/>
      <c r="C37" s="6"/>
      <c r="D37" s="6"/>
      <c r="E37" s="542"/>
      <c r="H37" s="6"/>
      <c r="K37" s="6"/>
      <c r="O37" s="127"/>
      <c r="P37" s="4">
        <f>P36+1</f>
        <v>26</v>
      </c>
    </row>
    <row r="38" spans="1:18" s="413" customFormat="1" x14ac:dyDescent="0.25">
      <c r="A38" s="4">
        <f>A37+1</f>
        <v>27</v>
      </c>
      <c r="B38" s="543"/>
      <c r="E38" s="31" t="s">
        <v>1434</v>
      </c>
      <c r="F38" s="544"/>
      <c r="G38" s="544"/>
      <c r="H38" s="28">
        <f>'ET Forecast Capital Additions'!H37</f>
        <v>17304.988000000001</v>
      </c>
      <c r="I38" s="193"/>
      <c r="J38" s="31" t="str">
        <f>'ET Forecast Capital Additions'!J37</f>
        <v>Form 1; Page 204-207; Line 58; Col. d</v>
      </c>
      <c r="K38" s="193"/>
      <c r="O38" s="545"/>
      <c r="P38" s="4">
        <f>P37+1</f>
        <v>27</v>
      </c>
      <c r="Q38" s="31"/>
    </row>
    <row r="39" spans="1:18" s="413" customFormat="1" x14ac:dyDescent="0.25">
      <c r="A39" s="4">
        <f>A38+1</f>
        <v>28</v>
      </c>
      <c r="B39" s="543"/>
      <c r="E39" s="31"/>
      <c r="F39" s="544"/>
      <c r="G39" s="544"/>
      <c r="H39" s="6"/>
      <c r="I39" s="193"/>
      <c r="J39" s="31"/>
      <c r="K39" s="193"/>
      <c r="O39" s="545"/>
      <c r="P39" s="4">
        <f>P38+1</f>
        <v>28</v>
      </c>
    </row>
    <row r="40" spans="1:18" s="413" customFormat="1" x14ac:dyDescent="0.25">
      <c r="A40" s="4">
        <f t="shared" ref="A40:A47" si="11">A39+1</f>
        <v>29</v>
      </c>
      <c r="B40" s="543"/>
      <c r="E40" s="31" t="s">
        <v>1436</v>
      </c>
      <c r="F40" s="544"/>
      <c r="G40" s="544"/>
      <c r="H40" s="912">
        <f>'ET Forecast Capital Additions'!H39</f>
        <v>9392029.3249999993</v>
      </c>
      <c r="I40" s="193"/>
      <c r="J40" s="31" t="str">
        <f>'ET Forecast Capital Additions'!J39</f>
        <v>Form 1; Page 204-207; Line 58; Col. g</v>
      </c>
      <c r="K40" s="193"/>
      <c r="O40" s="545"/>
      <c r="P40" s="4">
        <f t="shared" ref="P40:P42" si="12">P39+1</f>
        <v>29</v>
      </c>
    </row>
    <row r="41" spans="1:18" ht="16.5" thickBot="1" x14ac:dyDescent="0.3">
      <c r="A41" s="4">
        <f t="shared" si="11"/>
        <v>30</v>
      </c>
      <c r="B41" s="515"/>
      <c r="E41" s="1"/>
      <c r="F41" s="1"/>
      <c r="G41" s="1"/>
      <c r="O41" s="380"/>
      <c r="P41" s="4">
        <f t="shared" si="12"/>
        <v>30</v>
      </c>
      <c r="Q41" s="413"/>
      <c r="R41" s="413"/>
    </row>
    <row r="42" spans="1:18" ht="16.5" thickBot="1" x14ac:dyDescent="0.3">
      <c r="A42" s="4">
        <f t="shared" si="11"/>
        <v>31</v>
      </c>
      <c r="B42" s="515"/>
      <c r="E42" s="1" t="s">
        <v>1438</v>
      </c>
      <c r="H42" s="194">
        <f>IFERROR(H38/H40,0)</f>
        <v>1.8425185230136621E-3</v>
      </c>
      <c r="J42" s="31" t="s">
        <v>1439</v>
      </c>
      <c r="K42" s="47"/>
      <c r="O42" s="380"/>
      <c r="P42" s="4">
        <f t="shared" si="12"/>
        <v>31</v>
      </c>
    </row>
    <row r="43" spans="1:18" ht="16.5" thickBot="1" x14ac:dyDescent="0.3">
      <c r="A43" s="4">
        <f t="shared" si="11"/>
        <v>32</v>
      </c>
      <c r="B43" s="546"/>
      <c r="C43" s="862"/>
      <c r="D43" s="862"/>
      <c r="E43" s="892"/>
      <c r="F43" s="862"/>
      <c r="G43" s="862"/>
      <c r="H43" s="1072"/>
      <c r="I43" s="862"/>
      <c r="J43" s="862"/>
      <c r="K43" s="862"/>
      <c r="L43" s="862"/>
      <c r="M43" s="862"/>
      <c r="N43" s="862"/>
      <c r="O43" s="195"/>
      <c r="P43" s="4">
        <f t="shared" si="9"/>
        <v>32</v>
      </c>
      <c r="Q43" s="413"/>
    </row>
    <row r="44" spans="1:18" ht="16.5" thickBot="1" x14ac:dyDescent="0.3">
      <c r="A44" s="4">
        <f t="shared" si="11"/>
        <v>33</v>
      </c>
      <c r="B44" s="515"/>
      <c r="E44" s="6"/>
      <c r="K44" s="6" t="s">
        <v>1</v>
      </c>
      <c r="M44" s="47"/>
      <c r="N44" s="47"/>
      <c r="O44" s="547"/>
      <c r="P44" s="4">
        <f t="shared" si="9"/>
        <v>33</v>
      </c>
      <c r="Q44" s="413"/>
    </row>
    <row r="45" spans="1:18" ht="16.5" thickBot="1" x14ac:dyDescent="0.3">
      <c r="A45" s="4">
        <f t="shared" si="11"/>
        <v>34</v>
      </c>
      <c r="B45" s="548"/>
      <c r="D45" s="250"/>
      <c r="E45" s="549"/>
      <c r="F45" s="1073"/>
      <c r="G45" s="1074"/>
      <c r="H45" s="1074" t="s">
        <v>1440</v>
      </c>
      <c r="I45" s="550" t="s">
        <v>1441</v>
      </c>
      <c r="J45" s="551" t="s">
        <v>1442</v>
      </c>
      <c r="K45" s="552" t="s">
        <v>1399</v>
      </c>
      <c r="L45" s="1"/>
      <c r="M45" s="553" t="s">
        <v>1402</v>
      </c>
      <c r="N45" s="554" t="s">
        <v>1403</v>
      </c>
      <c r="O45" s="555" t="s">
        <v>1443</v>
      </c>
      <c r="P45" s="4">
        <f t="shared" si="9"/>
        <v>34</v>
      </c>
      <c r="Q45" s="413"/>
    </row>
    <row r="46" spans="1:18" ht="16.5" thickBot="1" x14ac:dyDescent="0.3">
      <c r="A46" s="4">
        <f t="shared" si="11"/>
        <v>35</v>
      </c>
      <c r="B46" s="515"/>
      <c r="E46" s="556"/>
      <c r="F46" s="363"/>
      <c r="G46" s="557"/>
      <c r="H46" s="557" t="s">
        <v>1444</v>
      </c>
      <c r="I46" s="196">
        <f>+I36</f>
        <v>0</v>
      </c>
      <c r="J46" s="196">
        <f>+J36</f>
        <v>0</v>
      </c>
      <c r="K46" s="196">
        <f>+K36</f>
        <v>0</v>
      </c>
      <c r="L46" s="43"/>
      <c r="M46" s="196">
        <f>+M36</f>
        <v>0</v>
      </c>
      <c r="N46" s="196">
        <f>+N36</f>
        <v>0</v>
      </c>
      <c r="O46" s="196">
        <f>+O36</f>
        <v>0</v>
      </c>
      <c r="P46" s="4">
        <f t="shared" si="9"/>
        <v>35</v>
      </c>
    </row>
    <row r="47" spans="1:18" ht="16.5" thickTop="1" x14ac:dyDescent="0.25">
      <c r="A47" s="4">
        <f t="shared" si="11"/>
        <v>36</v>
      </c>
      <c r="B47" s="515"/>
      <c r="E47" s="515"/>
      <c r="G47" s="29"/>
      <c r="H47" s="29"/>
      <c r="I47" s="216"/>
      <c r="J47" s="216"/>
      <c r="K47" s="216"/>
      <c r="M47" s="216"/>
      <c r="N47" s="216"/>
      <c r="O47" s="216"/>
      <c r="P47" s="4">
        <f t="shared" si="9"/>
        <v>36</v>
      </c>
    </row>
    <row r="48" spans="1:18" ht="16.5" thickBot="1" x14ac:dyDescent="0.3">
      <c r="A48" s="4">
        <f>A47+1</f>
        <v>37</v>
      </c>
      <c r="B48" s="515"/>
      <c r="E48" s="515"/>
      <c r="G48" s="29"/>
      <c r="H48" s="471" t="s">
        <v>1445</v>
      </c>
      <c r="I48" s="200">
        <f>IFERROR((+I46/K46),0)</f>
        <v>0</v>
      </c>
      <c r="J48" s="200">
        <f>IFERROR((+J46/K46),0)</f>
        <v>0</v>
      </c>
      <c r="K48" s="200">
        <f>I48+J48</f>
        <v>0</v>
      </c>
      <c r="L48" s="1"/>
      <c r="M48" s="200">
        <f>IFERROR((+M46/O46),0)</f>
        <v>0</v>
      </c>
      <c r="N48" s="200">
        <f>IFERROR((+N46/O46),0)</f>
        <v>0</v>
      </c>
      <c r="O48" s="200">
        <f>M48+N48</f>
        <v>0</v>
      </c>
      <c r="P48" s="4">
        <f>P47+1</f>
        <v>37</v>
      </c>
    </row>
    <row r="49" spans="1:16" ht="17.25" thickTop="1" thickBot="1" x14ac:dyDescent="0.3">
      <c r="A49" s="4">
        <f t="shared" si="6"/>
        <v>38</v>
      </c>
      <c r="B49" s="514"/>
      <c r="E49" s="546"/>
      <c r="F49" s="862"/>
      <c r="G49" s="862"/>
      <c r="H49" s="862"/>
      <c r="I49" s="204"/>
      <c r="J49" s="204"/>
      <c r="K49" s="195"/>
      <c r="M49" s="205"/>
      <c r="N49" s="206"/>
      <c r="O49" s="195"/>
      <c r="P49" s="4">
        <f t="shared" si="9"/>
        <v>38</v>
      </c>
    </row>
    <row r="50" spans="1:16" ht="16.5" thickBot="1" x14ac:dyDescent="0.3">
      <c r="A50" s="4">
        <f t="shared" si="6"/>
        <v>39</v>
      </c>
      <c r="B50" s="519"/>
      <c r="C50" s="862"/>
      <c r="D50" s="862"/>
      <c r="E50" s="862"/>
      <c r="F50" s="862"/>
      <c r="G50" s="862"/>
      <c r="H50" s="862"/>
      <c r="I50" s="862"/>
      <c r="J50" s="862"/>
      <c r="K50" s="862"/>
      <c r="L50" s="862"/>
      <c r="M50" s="862"/>
      <c r="N50" s="862"/>
      <c r="O50" s="195"/>
      <c r="P50" s="4">
        <f t="shared" si="9"/>
        <v>39</v>
      </c>
    </row>
    <row r="51" spans="1:16" x14ac:dyDescent="0.25">
      <c r="B51" s="1"/>
    </row>
    <row r="52" spans="1:16" x14ac:dyDescent="0.25">
      <c r="B52" s="1"/>
    </row>
    <row r="53" spans="1:16" x14ac:dyDescent="0.25">
      <c r="B53" s="1"/>
    </row>
    <row r="54" spans="1:16" x14ac:dyDescent="0.25">
      <c r="B54" s="565"/>
      <c r="C54" s="6"/>
      <c r="D54" s="6"/>
      <c r="E54" s="6"/>
      <c r="F54" s="6"/>
      <c r="G54" s="6"/>
      <c r="H54" s="6"/>
      <c r="I54" s="6"/>
      <c r="J54" s="6"/>
      <c r="K54" s="6"/>
      <c r="L54" s="427"/>
      <c r="M54" s="6"/>
      <c r="N54" s="6"/>
      <c r="O54" s="6"/>
    </row>
    <row r="55" spans="1:16" x14ac:dyDescent="0.25">
      <c r="B55" s="565"/>
      <c r="C55" s="6"/>
      <c r="D55" s="6"/>
      <c r="E55" s="6"/>
      <c r="F55" s="6"/>
      <c r="G55" s="6"/>
      <c r="H55" s="6"/>
      <c r="I55" s="6"/>
      <c r="J55" s="6"/>
      <c r="K55" s="6"/>
      <c r="L55" s="427"/>
      <c r="M55" s="6"/>
      <c r="N55" s="6"/>
      <c r="O55" s="6"/>
    </row>
    <row r="56" spans="1:16" x14ac:dyDescent="0.25">
      <c r="B56" s="565"/>
      <c r="C56" s="6"/>
      <c r="D56" s="6"/>
      <c r="E56" s="6"/>
      <c r="F56" s="6"/>
      <c r="G56" s="6"/>
      <c r="H56" s="6"/>
      <c r="I56" s="6"/>
      <c r="J56" s="6"/>
      <c r="K56" s="6"/>
      <c r="L56" s="427"/>
      <c r="M56" s="6"/>
      <c r="N56" s="6"/>
      <c r="O56" s="6"/>
    </row>
    <row r="57" spans="1:16" x14ac:dyDescent="0.25">
      <c r="B57" s="565"/>
      <c r="C57" s="6"/>
      <c r="D57" s="6"/>
      <c r="E57" s="6"/>
      <c r="F57" s="6"/>
      <c r="G57" s="6"/>
      <c r="H57" s="6"/>
      <c r="I57" s="6"/>
      <c r="J57" s="6"/>
      <c r="K57" s="6"/>
      <c r="L57" s="427"/>
      <c r="M57" s="6"/>
      <c r="N57" s="6"/>
      <c r="O57" s="6"/>
    </row>
    <row r="58" spans="1:16" x14ac:dyDescent="0.25">
      <c r="B58" s="565"/>
      <c r="C58" s="6"/>
      <c r="D58" s="6"/>
      <c r="E58" s="6"/>
      <c r="F58" s="6"/>
      <c r="G58" s="6"/>
      <c r="H58" s="6"/>
      <c r="I58" s="6"/>
      <c r="J58" s="6"/>
      <c r="K58" s="6"/>
      <c r="L58" s="427"/>
      <c r="M58" s="6"/>
      <c r="N58" s="6"/>
      <c r="O58" s="6"/>
    </row>
    <row r="59" spans="1:16" x14ac:dyDescent="0.25">
      <c r="B59" s="565"/>
    </row>
  </sheetData>
  <mergeCells count="6">
    <mergeCell ref="B7:O7"/>
    <mergeCell ref="B2:O2"/>
    <mergeCell ref="B3:O3"/>
    <mergeCell ref="B4:O4"/>
    <mergeCell ref="B5:O5"/>
    <mergeCell ref="B6:O6"/>
  </mergeCells>
  <printOptions horizontalCentered="1"/>
  <pageMargins left="0.5" right="0.5" top="0.5" bottom="0.5" header="0.25" footer="0.25"/>
  <pageSetup scale="58" orientation="landscape" r:id="rId1"/>
  <headerFooter scaleWithDoc="0">
    <oddFooter>&amp;C&amp;"Times New Roman,Regular"&amp;10Summary of Weighted Incentive Transmission CWIP - A</oddFooter>
  </headerFooter>
  <customProperties>
    <customPr name="_pios_id" r:id="rId2"/>
  </customPropertie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R59"/>
  <sheetViews>
    <sheetView zoomScale="80" zoomScaleNormal="80" workbookViewId="0">
      <selection activeCell="G34" sqref="G34"/>
    </sheetView>
  </sheetViews>
  <sheetFormatPr defaultColWidth="8.7109375" defaultRowHeight="15.75" x14ac:dyDescent="0.25"/>
  <cols>
    <col min="1" max="1" width="5.28515625" style="4" customWidth="1"/>
    <col min="2" max="2" width="8.5703125" style="5" customWidth="1"/>
    <col min="3" max="11" width="15.7109375" style="5" customWidth="1"/>
    <col min="12" max="12" width="11.28515625" style="5" customWidth="1"/>
    <col min="13" max="15" width="15.7109375" style="5" customWidth="1"/>
    <col min="16" max="16" width="5.28515625" style="4" customWidth="1"/>
    <col min="17" max="16384" width="8.7109375" style="5"/>
  </cols>
  <sheetData>
    <row r="1" spans="1:16" x14ac:dyDescent="0.25">
      <c r="B1" s="31"/>
      <c r="C1" s="254"/>
      <c r="D1" s="31"/>
      <c r="E1" s="31"/>
      <c r="F1" s="31"/>
      <c r="G1" s="31"/>
      <c r="H1" s="31"/>
      <c r="I1" s="31"/>
      <c r="J1" s="31"/>
      <c r="K1" s="31"/>
      <c r="L1" s="31"/>
      <c r="M1" s="31"/>
      <c r="N1" s="31"/>
      <c r="O1" s="31"/>
    </row>
    <row r="2" spans="1:16" x14ac:dyDescent="0.25">
      <c r="B2" s="1316" t="s">
        <v>0</v>
      </c>
      <c r="C2" s="1316"/>
      <c r="D2" s="1316"/>
      <c r="E2" s="1316"/>
      <c r="F2" s="1316"/>
      <c r="G2" s="1316"/>
      <c r="H2" s="1316"/>
      <c r="I2" s="1316"/>
      <c r="J2" s="1316"/>
      <c r="K2" s="1316"/>
      <c r="L2" s="1316"/>
      <c r="M2" s="1316"/>
      <c r="N2" s="1316"/>
      <c r="O2" s="1316"/>
    </row>
    <row r="3" spans="1:16" x14ac:dyDescent="0.25">
      <c r="B3" s="1316" t="s">
        <v>1425</v>
      </c>
      <c r="C3" s="1316"/>
      <c r="D3" s="1316"/>
      <c r="E3" s="1316"/>
      <c r="F3" s="1316"/>
      <c r="G3" s="1316"/>
      <c r="H3" s="1316"/>
      <c r="I3" s="1316"/>
      <c r="J3" s="1316"/>
      <c r="K3" s="1316"/>
      <c r="L3" s="1316"/>
      <c r="M3" s="1316"/>
      <c r="N3" s="1316"/>
      <c r="O3" s="1316"/>
    </row>
    <row r="4" spans="1:16" x14ac:dyDescent="0.25">
      <c r="B4" s="1318" t="str">
        <f>'Summary of HV-LV Splits'!B4</f>
        <v>24-Month Forecast Period (January 1, 2025 - December 31, 2026)</v>
      </c>
      <c r="C4" s="1318"/>
      <c r="D4" s="1318"/>
      <c r="E4" s="1318"/>
      <c r="F4" s="1318"/>
      <c r="G4" s="1318"/>
      <c r="H4" s="1318"/>
      <c r="I4" s="1318"/>
      <c r="J4" s="1318"/>
      <c r="K4" s="1318"/>
      <c r="L4" s="1318"/>
      <c r="M4" s="1318"/>
      <c r="N4" s="1318"/>
      <c r="O4" s="1318"/>
    </row>
    <row r="5" spans="1:16" x14ac:dyDescent="0.25">
      <c r="B5" s="1316" t="s">
        <v>1451</v>
      </c>
      <c r="C5" s="1316"/>
      <c r="D5" s="1316"/>
      <c r="E5" s="1316"/>
      <c r="F5" s="1316"/>
      <c r="G5" s="1316"/>
      <c r="H5" s="1316"/>
      <c r="I5" s="1316"/>
      <c r="J5" s="1316"/>
      <c r="K5" s="1316"/>
      <c r="L5" s="1316"/>
      <c r="M5" s="1316"/>
      <c r="N5" s="1316"/>
      <c r="O5" s="1316"/>
    </row>
    <row r="6" spans="1:16" x14ac:dyDescent="0.25">
      <c r="B6" s="1316" t="s">
        <v>1453</v>
      </c>
      <c r="C6" s="1316"/>
      <c r="D6" s="1316"/>
      <c r="E6" s="1316"/>
      <c r="F6" s="1316"/>
      <c r="G6" s="1316"/>
      <c r="H6" s="1316"/>
      <c r="I6" s="1316"/>
      <c r="J6" s="1316"/>
      <c r="K6" s="1316"/>
      <c r="L6" s="1316"/>
      <c r="M6" s="1316"/>
      <c r="N6" s="1316"/>
      <c r="O6" s="1316"/>
    </row>
    <row r="7" spans="1:16" x14ac:dyDescent="0.25">
      <c r="B7" s="1342">
        <v>-1000</v>
      </c>
      <c r="C7" s="1342"/>
      <c r="D7" s="1342"/>
      <c r="E7" s="1342"/>
      <c r="F7" s="1342"/>
      <c r="G7" s="1342"/>
      <c r="H7" s="1342"/>
      <c r="I7" s="1342"/>
      <c r="J7" s="1342"/>
      <c r="K7" s="1342"/>
      <c r="L7" s="1342"/>
      <c r="M7" s="1342"/>
      <c r="N7" s="1342"/>
      <c r="O7" s="1342"/>
    </row>
    <row r="8" spans="1:16" ht="16.5" thickBot="1" x14ac:dyDescent="0.3">
      <c r="B8" s="31"/>
      <c r="C8" s="31"/>
      <c r="D8" s="31"/>
      <c r="E8" s="31"/>
      <c r="F8" s="31"/>
      <c r="G8" s="31"/>
      <c r="H8" s="31"/>
      <c r="I8" s="31"/>
      <c r="J8" s="31"/>
      <c r="K8" s="31"/>
      <c r="L8" s="31"/>
      <c r="M8" s="31"/>
      <c r="N8" s="31"/>
      <c r="O8" s="31"/>
    </row>
    <row r="9" spans="1:16" x14ac:dyDescent="0.25">
      <c r="A9" s="4" t="s">
        <v>5</v>
      </c>
      <c r="B9" s="230"/>
      <c r="C9" s="228" t="s">
        <v>1450</v>
      </c>
      <c r="D9" s="226"/>
      <c r="E9" s="229"/>
      <c r="F9" s="225" t="s">
        <v>1428</v>
      </c>
      <c r="G9" s="226"/>
      <c r="H9" s="227"/>
      <c r="I9" s="228" t="s">
        <v>1429</v>
      </c>
      <c r="J9" s="229"/>
      <c r="K9" s="566"/>
      <c r="L9" s="230" t="s">
        <v>1430</v>
      </c>
      <c r="M9" s="228" t="s">
        <v>1431</v>
      </c>
      <c r="N9" s="226"/>
      <c r="O9" s="227"/>
      <c r="P9" s="4" t="s">
        <v>5</v>
      </c>
    </row>
    <row r="10" spans="1:16" ht="16.5" thickBot="1" x14ac:dyDescent="0.3">
      <c r="A10" s="4" t="s">
        <v>6</v>
      </c>
      <c r="B10" s="529" t="s">
        <v>1432</v>
      </c>
      <c r="C10" s="534" t="s">
        <v>1400</v>
      </c>
      <c r="D10" s="531" t="s">
        <v>1401</v>
      </c>
      <c r="E10" s="532" t="s">
        <v>180</v>
      </c>
      <c r="F10" s="530" t="s">
        <v>1400</v>
      </c>
      <c r="G10" s="531" t="s">
        <v>1401</v>
      </c>
      <c r="H10" s="533" t="s">
        <v>180</v>
      </c>
      <c r="I10" s="534" t="s">
        <v>1400</v>
      </c>
      <c r="J10" s="531" t="s">
        <v>1401</v>
      </c>
      <c r="K10" s="532" t="s">
        <v>180</v>
      </c>
      <c r="L10" s="529" t="s">
        <v>1433</v>
      </c>
      <c r="M10" s="534" t="s">
        <v>1400</v>
      </c>
      <c r="N10" s="531" t="s">
        <v>1401</v>
      </c>
      <c r="O10" s="533" t="s">
        <v>180</v>
      </c>
      <c r="P10" s="4" t="s">
        <v>6</v>
      </c>
    </row>
    <row r="11" spans="1:16" x14ac:dyDescent="0.25">
      <c r="A11" s="217"/>
      <c r="B11" s="230"/>
      <c r="C11" s="217"/>
      <c r="D11" s="457"/>
      <c r="E11" s="217"/>
      <c r="F11" s="507"/>
      <c r="G11" s="457"/>
      <c r="H11" s="538"/>
      <c r="I11" s="217"/>
      <c r="J11" s="457"/>
      <c r="K11" s="217"/>
      <c r="L11" s="535"/>
      <c r="M11" s="217"/>
      <c r="N11" s="457"/>
      <c r="O11" s="538"/>
      <c r="P11" s="217"/>
    </row>
    <row r="12" spans="1:16" x14ac:dyDescent="0.25">
      <c r="A12" s="4">
        <v>1</v>
      </c>
      <c r="B12" s="539">
        <f>'ET Forecast Capital Additions'!B11</f>
        <v>45679</v>
      </c>
      <c r="C12" s="218">
        <v>0</v>
      </c>
      <c r="D12" s="673">
        <v>0</v>
      </c>
      <c r="E12" s="119">
        <f t="shared" ref="E12:E35" si="0">C12+D12</f>
        <v>0</v>
      </c>
      <c r="F12" s="175">
        <f>C12*$H$42</f>
        <v>0</v>
      </c>
      <c r="G12" s="231">
        <f>D12*$H$42</f>
        <v>0</v>
      </c>
      <c r="H12" s="219">
        <f t="shared" ref="H12:H35" si="1">F12+G12</f>
        <v>0</v>
      </c>
      <c r="I12" s="58">
        <f>C12-F12</f>
        <v>0</v>
      </c>
      <c r="J12" s="231">
        <f>D12-G12</f>
        <v>0</v>
      </c>
      <c r="K12" s="119">
        <f t="shared" ref="K12:K35" si="2">I12+J12</f>
        <v>0</v>
      </c>
      <c r="L12" s="241">
        <f>'ET Forecast Capital Additions'!$L11</f>
        <v>1</v>
      </c>
      <c r="M12" s="58">
        <f t="shared" ref="M12:M35" si="3">I12*L12</f>
        <v>0</v>
      </c>
      <c r="N12" s="231">
        <f t="shared" ref="N12:N35" si="4">J12*L12</f>
        <v>0</v>
      </c>
      <c r="O12" s="592">
        <f t="shared" ref="O12:O35" si="5">M12+N12</f>
        <v>0</v>
      </c>
      <c r="P12" s="4">
        <f>A12</f>
        <v>1</v>
      </c>
    </row>
    <row r="13" spans="1:16" x14ac:dyDescent="0.25">
      <c r="A13" s="4">
        <f t="shared" ref="A13:A50" si="6">A12+1</f>
        <v>2</v>
      </c>
      <c r="B13" s="539">
        <f>'ET Forecast Capital Additions'!B12</f>
        <v>45710</v>
      </c>
      <c r="C13" s="220">
        <v>0</v>
      </c>
      <c r="D13" s="674">
        <v>0</v>
      </c>
      <c r="E13" s="124">
        <f t="shared" si="0"/>
        <v>0</v>
      </c>
      <c r="F13" s="177">
        <f t="shared" ref="F13:G35" si="7">C13*$H$42</f>
        <v>0</v>
      </c>
      <c r="G13" s="232">
        <f t="shared" si="7"/>
        <v>0</v>
      </c>
      <c r="H13" s="127">
        <f t="shared" si="1"/>
        <v>0</v>
      </c>
      <c r="I13" s="52">
        <f t="shared" ref="I13:J35" si="8">C13-F13</f>
        <v>0</v>
      </c>
      <c r="J13" s="232">
        <f t="shared" si="8"/>
        <v>0</v>
      </c>
      <c r="K13" s="124">
        <f t="shared" si="2"/>
        <v>0</v>
      </c>
      <c r="L13" s="241">
        <f>'ET Forecast Capital Additions'!$L12</f>
        <v>1</v>
      </c>
      <c r="M13" s="52">
        <f t="shared" si="3"/>
        <v>0</v>
      </c>
      <c r="N13" s="232">
        <f t="shared" si="4"/>
        <v>0</v>
      </c>
      <c r="O13" s="573">
        <f t="shared" si="5"/>
        <v>0</v>
      </c>
      <c r="P13" s="4">
        <f t="shared" ref="P13:P50" si="9">P12+1</f>
        <v>2</v>
      </c>
    </row>
    <row r="14" spans="1:16" x14ac:dyDescent="0.25">
      <c r="A14" s="4">
        <f t="shared" si="6"/>
        <v>3</v>
      </c>
      <c r="B14" s="539">
        <f>'ET Forecast Capital Additions'!B13</f>
        <v>45738</v>
      </c>
      <c r="C14" s="220">
        <v>0</v>
      </c>
      <c r="D14" s="674">
        <v>0</v>
      </c>
      <c r="E14" s="124">
        <f t="shared" si="0"/>
        <v>0</v>
      </c>
      <c r="F14" s="177">
        <f t="shared" si="7"/>
        <v>0</v>
      </c>
      <c r="G14" s="232">
        <f t="shared" si="7"/>
        <v>0</v>
      </c>
      <c r="H14" s="127">
        <f t="shared" si="1"/>
        <v>0</v>
      </c>
      <c r="I14" s="52">
        <f t="shared" si="8"/>
        <v>0</v>
      </c>
      <c r="J14" s="232">
        <f t="shared" si="8"/>
        <v>0</v>
      </c>
      <c r="K14" s="124">
        <f t="shared" si="2"/>
        <v>0</v>
      </c>
      <c r="L14" s="241">
        <f>'ET Forecast Capital Additions'!$L13</f>
        <v>1</v>
      </c>
      <c r="M14" s="52">
        <f t="shared" si="3"/>
        <v>0</v>
      </c>
      <c r="N14" s="232">
        <f t="shared" si="4"/>
        <v>0</v>
      </c>
      <c r="O14" s="573">
        <f t="shared" si="5"/>
        <v>0</v>
      </c>
      <c r="P14" s="4">
        <f t="shared" si="9"/>
        <v>3</v>
      </c>
    </row>
    <row r="15" spans="1:16" ht="16.5" thickBot="1" x14ac:dyDescent="0.3">
      <c r="A15" s="4">
        <f t="shared" si="6"/>
        <v>4</v>
      </c>
      <c r="B15" s="540">
        <f>'ET Forecast Capital Additions'!B14</f>
        <v>45769</v>
      </c>
      <c r="C15" s="221">
        <v>0</v>
      </c>
      <c r="D15" s="207">
        <v>0</v>
      </c>
      <c r="E15" s="179">
        <f t="shared" si="0"/>
        <v>0</v>
      </c>
      <c r="F15" s="180">
        <f t="shared" si="7"/>
        <v>0</v>
      </c>
      <c r="G15" s="181">
        <f t="shared" si="7"/>
        <v>0</v>
      </c>
      <c r="H15" s="212">
        <f t="shared" si="1"/>
        <v>0</v>
      </c>
      <c r="I15" s="183">
        <f t="shared" si="8"/>
        <v>0</v>
      </c>
      <c r="J15" s="181">
        <f t="shared" si="8"/>
        <v>0</v>
      </c>
      <c r="K15" s="179">
        <f t="shared" si="2"/>
        <v>0</v>
      </c>
      <c r="L15" s="242">
        <f>'ET Forecast Capital Additions'!$L14</f>
        <v>1</v>
      </c>
      <c r="M15" s="183">
        <f t="shared" si="3"/>
        <v>0</v>
      </c>
      <c r="N15" s="181">
        <f t="shared" si="4"/>
        <v>0</v>
      </c>
      <c r="O15" s="182">
        <f t="shared" si="5"/>
        <v>0</v>
      </c>
      <c r="P15" s="4">
        <f t="shared" si="9"/>
        <v>4</v>
      </c>
    </row>
    <row r="16" spans="1:16" x14ac:dyDescent="0.25">
      <c r="A16" s="4">
        <f t="shared" si="6"/>
        <v>5</v>
      </c>
      <c r="B16" s="539">
        <f>'ET Forecast Capital Additions'!B15</f>
        <v>45799</v>
      </c>
      <c r="C16" s="222">
        <v>0</v>
      </c>
      <c r="D16" s="184">
        <v>0</v>
      </c>
      <c r="E16" s="122">
        <f t="shared" si="0"/>
        <v>0</v>
      </c>
      <c r="F16" s="185">
        <f t="shared" si="7"/>
        <v>0</v>
      </c>
      <c r="G16" s="128">
        <f t="shared" si="7"/>
        <v>0</v>
      </c>
      <c r="H16" s="223">
        <f t="shared" si="1"/>
        <v>0</v>
      </c>
      <c r="I16" s="52">
        <f t="shared" si="8"/>
        <v>0</v>
      </c>
      <c r="J16" s="232">
        <f t="shared" si="8"/>
        <v>0</v>
      </c>
      <c r="K16" s="122">
        <f t="shared" si="2"/>
        <v>0</v>
      </c>
      <c r="L16" s="243">
        <f>'ET Forecast Capital Additions'!$L15</f>
        <v>1</v>
      </c>
      <c r="M16" s="52">
        <f t="shared" si="3"/>
        <v>0</v>
      </c>
      <c r="N16" s="232">
        <f t="shared" si="4"/>
        <v>0</v>
      </c>
      <c r="O16" s="123">
        <f t="shared" si="5"/>
        <v>0</v>
      </c>
      <c r="P16" s="4">
        <f t="shared" si="9"/>
        <v>5</v>
      </c>
    </row>
    <row r="17" spans="1:16" x14ac:dyDescent="0.25">
      <c r="A17" s="4">
        <f t="shared" si="6"/>
        <v>6</v>
      </c>
      <c r="B17" s="539">
        <f>'ET Forecast Capital Additions'!B16</f>
        <v>45830</v>
      </c>
      <c r="C17" s="220">
        <v>0</v>
      </c>
      <c r="D17" s="674">
        <v>0</v>
      </c>
      <c r="E17" s="124">
        <f t="shared" si="0"/>
        <v>0</v>
      </c>
      <c r="F17" s="177">
        <f t="shared" si="7"/>
        <v>0</v>
      </c>
      <c r="G17" s="232">
        <f t="shared" si="7"/>
        <v>0</v>
      </c>
      <c r="H17" s="127">
        <f t="shared" si="1"/>
        <v>0</v>
      </c>
      <c r="I17" s="52">
        <f t="shared" si="8"/>
        <v>0</v>
      </c>
      <c r="J17" s="232">
        <f t="shared" si="8"/>
        <v>0</v>
      </c>
      <c r="K17" s="124">
        <f t="shared" si="2"/>
        <v>0</v>
      </c>
      <c r="L17" s="241">
        <f>'ET Forecast Capital Additions'!$L16</f>
        <v>1</v>
      </c>
      <c r="M17" s="52">
        <f t="shared" si="3"/>
        <v>0</v>
      </c>
      <c r="N17" s="232">
        <f t="shared" si="4"/>
        <v>0</v>
      </c>
      <c r="O17" s="573">
        <f t="shared" si="5"/>
        <v>0</v>
      </c>
      <c r="P17" s="4">
        <f t="shared" si="9"/>
        <v>6</v>
      </c>
    </row>
    <row r="18" spans="1:16" x14ac:dyDescent="0.25">
      <c r="A18" s="4">
        <f t="shared" si="6"/>
        <v>7</v>
      </c>
      <c r="B18" s="539">
        <f>'ET Forecast Capital Additions'!B17</f>
        <v>45860</v>
      </c>
      <c r="C18" s="220">
        <v>0</v>
      </c>
      <c r="D18" s="674">
        <v>0</v>
      </c>
      <c r="E18" s="124">
        <f t="shared" si="0"/>
        <v>0</v>
      </c>
      <c r="F18" s="177">
        <f t="shared" si="7"/>
        <v>0</v>
      </c>
      <c r="G18" s="232">
        <f t="shared" si="7"/>
        <v>0</v>
      </c>
      <c r="H18" s="127">
        <f t="shared" si="1"/>
        <v>0</v>
      </c>
      <c r="I18" s="52">
        <f t="shared" si="8"/>
        <v>0</v>
      </c>
      <c r="J18" s="232">
        <f t="shared" si="8"/>
        <v>0</v>
      </c>
      <c r="K18" s="124">
        <f t="shared" si="2"/>
        <v>0</v>
      </c>
      <c r="L18" s="241">
        <f>'ET Forecast Capital Additions'!$L17</f>
        <v>1</v>
      </c>
      <c r="M18" s="52">
        <f t="shared" si="3"/>
        <v>0</v>
      </c>
      <c r="N18" s="232">
        <f t="shared" si="4"/>
        <v>0</v>
      </c>
      <c r="O18" s="573">
        <f t="shared" si="5"/>
        <v>0</v>
      </c>
      <c r="P18" s="4">
        <f t="shared" si="9"/>
        <v>7</v>
      </c>
    </row>
    <row r="19" spans="1:16" ht="16.5" thickBot="1" x14ac:dyDescent="0.3">
      <c r="A19" s="4">
        <f t="shared" si="6"/>
        <v>8</v>
      </c>
      <c r="B19" s="540">
        <f>'ET Forecast Capital Additions'!B18</f>
        <v>45891</v>
      </c>
      <c r="C19" s="221">
        <v>0</v>
      </c>
      <c r="D19" s="207">
        <v>0</v>
      </c>
      <c r="E19" s="179">
        <f t="shared" si="0"/>
        <v>0</v>
      </c>
      <c r="F19" s="180">
        <f t="shared" si="7"/>
        <v>0</v>
      </c>
      <c r="G19" s="181">
        <f t="shared" si="7"/>
        <v>0</v>
      </c>
      <c r="H19" s="212">
        <f t="shared" si="1"/>
        <v>0</v>
      </c>
      <c r="I19" s="183">
        <f t="shared" si="8"/>
        <v>0</v>
      </c>
      <c r="J19" s="181">
        <f t="shared" si="8"/>
        <v>0</v>
      </c>
      <c r="K19" s="179">
        <f t="shared" si="2"/>
        <v>0</v>
      </c>
      <c r="L19" s="242">
        <f>'ET Forecast Capital Additions'!$L18</f>
        <v>1</v>
      </c>
      <c r="M19" s="183">
        <f t="shared" si="3"/>
        <v>0</v>
      </c>
      <c r="N19" s="181">
        <f t="shared" si="4"/>
        <v>0</v>
      </c>
      <c r="O19" s="182">
        <f t="shared" si="5"/>
        <v>0</v>
      </c>
      <c r="P19" s="4">
        <f t="shared" si="9"/>
        <v>8</v>
      </c>
    </row>
    <row r="20" spans="1:16" x14ac:dyDescent="0.25">
      <c r="A20" s="4">
        <f t="shared" si="6"/>
        <v>9</v>
      </c>
      <c r="B20" s="539">
        <f>'ET Forecast Capital Additions'!B19</f>
        <v>45922</v>
      </c>
      <c r="C20" s="222">
        <v>0</v>
      </c>
      <c r="D20" s="184">
        <v>0</v>
      </c>
      <c r="E20" s="122">
        <f t="shared" si="0"/>
        <v>0</v>
      </c>
      <c r="F20" s="185">
        <f t="shared" si="7"/>
        <v>0</v>
      </c>
      <c r="G20" s="128">
        <f t="shared" si="7"/>
        <v>0</v>
      </c>
      <c r="H20" s="223">
        <f t="shared" si="1"/>
        <v>0</v>
      </c>
      <c r="I20" s="52">
        <f t="shared" si="8"/>
        <v>0</v>
      </c>
      <c r="J20" s="232">
        <f t="shared" si="8"/>
        <v>0</v>
      </c>
      <c r="K20" s="122">
        <f t="shared" si="2"/>
        <v>0</v>
      </c>
      <c r="L20" s="243">
        <f>'ET Forecast Capital Additions'!$L19</f>
        <v>1</v>
      </c>
      <c r="M20" s="52">
        <f t="shared" si="3"/>
        <v>0</v>
      </c>
      <c r="N20" s="232">
        <f t="shared" si="4"/>
        <v>0</v>
      </c>
      <c r="O20" s="123">
        <f t="shared" si="5"/>
        <v>0</v>
      </c>
      <c r="P20" s="4">
        <f t="shared" si="9"/>
        <v>9</v>
      </c>
    </row>
    <row r="21" spans="1:16" x14ac:dyDescent="0.25">
      <c r="A21" s="4">
        <f t="shared" si="6"/>
        <v>10</v>
      </c>
      <c r="B21" s="539">
        <f>'ET Forecast Capital Additions'!B20</f>
        <v>45952</v>
      </c>
      <c r="C21" s="220">
        <v>0</v>
      </c>
      <c r="D21" s="674">
        <v>0</v>
      </c>
      <c r="E21" s="124">
        <f t="shared" si="0"/>
        <v>0</v>
      </c>
      <c r="F21" s="177">
        <f t="shared" si="7"/>
        <v>0</v>
      </c>
      <c r="G21" s="232">
        <f t="shared" si="7"/>
        <v>0</v>
      </c>
      <c r="H21" s="127">
        <f t="shared" si="1"/>
        <v>0</v>
      </c>
      <c r="I21" s="52">
        <f t="shared" si="8"/>
        <v>0</v>
      </c>
      <c r="J21" s="232">
        <f t="shared" si="8"/>
        <v>0</v>
      </c>
      <c r="K21" s="124">
        <f t="shared" si="2"/>
        <v>0</v>
      </c>
      <c r="L21" s="241">
        <f>'ET Forecast Capital Additions'!$L20</f>
        <v>1</v>
      </c>
      <c r="M21" s="52">
        <f t="shared" si="3"/>
        <v>0</v>
      </c>
      <c r="N21" s="232">
        <f t="shared" si="4"/>
        <v>0</v>
      </c>
      <c r="O21" s="573">
        <f t="shared" si="5"/>
        <v>0</v>
      </c>
      <c r="P21" s="4">
        <f t="shared" si="9"/>
        <v>10</v>
      </c>
    </row>
    <row r="22" spans="1:16" x14ac:dyDescent="0.25">
      <c r="A22" s="4">
        <f t="shared" si="6"/>
        <v>11</v>
      </c>
      <c r="B22" s="539">
        <f>'ET Forecast Capital Additions'!B21</f>
        <v>45983</v>
      </c>
      <c r="C22" s="111">
        <v>0</v>
      </c>
      <c r="D22" s="674">
        <v>0</v>
      </c>
      <c r="E22" s="6">
        <f t="shared" si="0"/>
        <v>0</v>
      </c>
      <c r="F22" s="177">
        <f t="shared" si="7"/>
        <v>0</v>
      </c>
      <c r="G22" s="232">
        <f t="shared" si="7"/>
        <v>0</v>
      </c>
      <c r="H22" s="127">
        <f t="shared" si="1"/>
        <v>0</v>
      </c>
      <c r="I22" s="52">
        <f t="shared" si="8"/>
        <v>0</v>
      </c>
      <c r="J22" s="232">
        <f t="shared" si="8"/>
        <v>0</v>
      </c>
      <c r="K22" s="6">
        <f t="shared" si="2"/>
        <v>0</v>
      </c>
      <c r="L22" s="241">
        <f>'ET Forecast Capital Additions'!$L21</f>
        <v>1</v>
      </c>
      <c r="M22" s="52">
        <f t="shared" si="3"/>
        <v>0</v>
      </c>
      <c r="N22" s="232">
        <f t="shared" si="4"/>
        <v>0</v>
      </c>
      <c r="O22" s="127">
        <f t="shared" si="5"/>
        <v>0</v>
      </c>
      <c r="P22" s="4">
        <f t="shared" si="9"/>
        <v>11</v>
      </c>
    </row>
    <row r="23" spans="1:16" ht="16.5" thickBot="1" x14ac:dyDescent="0.3">
      <c r="A23" s="4">
        <f t="shared" si="6"/>
        <v>12</v>
      </c>
      <c r="B23" s="540">
        <f>'ET Forecast Capital Additions'!B22</f>
        <v>46013</v>
      </c>
      <c r="C23" s="221">
        <v>0</v>
      </c>
      <c r="D23" s="207">
        <v>0</v>
      </c>
      <c r="E23" s="179">
        <f t="shared" si="0"/>
        <v>0</v>
      </c>
      <c r="F23" s="180">
        <f t="shared" si="7"/>
        <v>0</v>
      </c>
      <c r="G23" s="181">
        <f t="shared" si="7"/>
        <v>0</v>
      </c>
      <c r="H23" s="212">
        <f t="shared" si="1"/>
        <v>0</v>
      </c>
      <c r="I23" s="183">
        <f t="shared" si="8"/>
        <v>0</v>
      </c>
      <c r="J23" s="181">
        <f t="shared" si="8"/>
        <v>0</v>
      </c>
      <c r="K23" s="179">
        <f t="shared" si="2"/>
        <v>0</v>
      </c>
      <c r="L23" s="242">
        <f>'ET Forecast Capital Additions'!$L22</f>
        <v>1</v>
      </c>
      <c r="M23" s="183">
        <f t="shared" si="3"/>
        <v>0</v>
      </c>
      <c r="N23" s="181">
        <f t="shared" si="4"/>
        <v>0</v>
      </c>
      <c r="O23" s="182">
        <f t="shared" si="5"/>
        <v>0</v>
      </c>
      <c r="P23" s="4">
        <f t="shared" si="9"/>
        <v>12</v>
      </c>
    </row>
    <row r="24" spans="1:16" x14ac:dyDescent="0.25">
      <c r="A24" s="4">
        <f t="shared" si="6"/>
        <v>13</v>
      </c>
      <c r="B24" s="539">
        <f>'ET Forecast Capital Additions'!B23</f>
        <v>46044</v>
      </c>
      <c r="C24" s="222">
        <v>0</v>
      </c>
      <c r="D24" s="184">
        <v>0</v>
      </c>
      <c r="E24" s="122">
        <f t="shared" si="0"/>
        <v>0</v>
      </c>
      <c r="F24" s="177">
        <f t="shared" si="7"/>
        <v>0</v>
      </c>
      <c r="G24" s="232">
        <f t="shared" si="7"/>
        <v>0</v>
      </c>
      <c r="H24" s="223">
        <f t="shared" si="1"/>
        <v>0</v>
      </c>
      <c r="I24" s="52">
        <f t="shared" si="8"/>
        <v>0</v>
      </c>
      <c r="J24" s="232">
        <f t="shared" si="8"/>
        <v>0</v>
      </c>
      <c r="K24" s="122">
        <f t="shared" si="2"/>
        <v>0</v>
      </c>
      <c r="L24" s="243">
        <f>'ET Forecast Capital Additions'!$L23</f>
        <v>1</v>
      </c>
      <c r="M24" s="52">
        <f t="shared" si="3"/>
        <v>0</v>
      </c>
      <c r="N24" s="232">
        <f t="shared" si="4"/>
        <v>0</v>
      </c>
      <c r="O24" s="123">
        <f t="shared" si="5"/>
        <v>0</v>
      </c>
      <c r="P24" s="4">
        <f t="shared" si="9"/>
        <v>13</v>
      </c>
    </row>
    <row r="25" spans="1:16" x14ac:dyDescent="0.25">
      <c r="A25" s="4">
        <f t="shared" si="6"/>
        <v>14</v>
      </c>
      <c r="B25" s="539">
        <f>'ET Forecast Capital Additions'!B24</f>
        <v>46075</v>
      </c>
      <c r="C25" s="220">
        <v>0</v>
      </c>
      <c r="D25" s="674">
        <v>0</v>
      </c>
      <c r="E25" s="124">
        <f t="shared" si="0"/>
        <v>0</v>
      </c>
      <c r="F25" s="177">
        <f t="shared" si="7"/>
        <v>0</v>
      </c>
      <c r="G25" s="232">
        <f t="shared" si="7"/>
        <v>0</v>
      </c>
      <c r="H25" s="127">
        <f t="shared" si="1"/>
        <v>0</v>
      </c>
      <c r="I25" s="52">
        <f t="shared" si="8"/>
        <v>0</v>
      </c>
      <c r="J25" s="232">
        <f t="shared" si="8"/>
        <v>0</v>
      </c>
      <c r="K25" s="124">
        <f t="shared" si="2"/>
        <v>0</v>
      </c>
      <c r="L25" s="241">
        <f>'ET Forecast Capital Additions'!$L24</f>
        <v>0.91666666666666663</v>
      </c>
      <c r="M25" s="52">
        <f t="shared" si="3"/>
        <v>0</v>
      </c>
      <c r="N25" s="232">
        <f t="shared" si="4"/>
        <v>0</v>
      </c>
      <c r="O25" s="573">
        <f t="shared" si="5"/>
        <v>0</v>
      </c>
      <c r="P25" s="4">
        <f t="shared" si="9"/>
        <v>14</v>
      </c>
    </row>
    <row r="26" spans="1:16" x14ac:dyDescent="0.25">
      <c r="A26" s="4">
        <f t="shared" si="6"/>
        <v>15</v>
      </c>
      <c r="B26" s="539">
        <f>'ET Forecast Capital Additions'!B25</f>
        <v>46103</v>
      </c>
      <c r="C26" s="220">
        <v>0</v>
      </c>
      <c r="D26" s="674">
        <v>0</v>
      </c>
      <c r="E26" s="124">
        <f t="shared" si="0"/>
        <v>0</v>
      </c>
      <c r="F26" s="177">
        <f t="shared" si="7"/>
        <v>0</v>
      </c>
      <c r="G26" s="232">
        <f t="shared" si="7"/>
        <v>0</v>
      </c>
      <c r="H26" s="127">
        <f t="shared" si="1"/>
        <v>0</v>
      </c>
      <c r="I26" s="52">
        <f t="shared" si="8"/>
        <v>0</v>
      </c>
      <c r="J26" s="232">
        <f t="shared" si="8"/>
        <v>0</v>
      </c>
      <c r="K26" s="124">
        <f t="shared" si="2"/>
        <v>0</v>
      </c>
      <c r="L26" s="241">
        <f>'ET Forecast Capital Additions'!$L25</f>
        <v>0.83333333333333337</v>
      </c>
      <c r="M26" s="52">
        <f t="shared" si="3"/>
        <v>0</v>
      </c>
      <c r="N26" s="232">
        <f t="shared" si="4"/>
        <v>0</v>
      </c>
      <c r="O26" s="573">
        <f t="shared" si="5"/>
        <v>0</v>
      </c>
      <c r="P26" s="4">
        <f t="shared" si="9"/>
        <v>15</v>
      </c>
    </row>
    <row r="27" spans="1:16" ht="16.5" thickBot="1" x14ac:dyDescent="0.3">
      <c r="A27" s="4">
        <f t="shared" si="6"/>
        <v>16</v>
      </c>
      <c r="B27" s="540">
        <f>'ET Forecast Capital Additions'!B26</f>
        <v>46134</v>
      </c>
      <c r="C27" s="221">
        <v>0</v>
      </c>
      <c r="D27" s="207">
        <v>0</v>
      </c>
      <c r="E27" s="179">
        <f t="shared" si="0"/>
        <v>0</v>
      </c>
      <c r="F27" s="180">
        <f t="shared" si="7"/>
        <v>0</v>
      </c>
      <c r="G27" s="181">
        <f t="shared" si="7"/>
        <v>0</v>
      </c>
      <c r="H27" s="212">
        <f t="shared" si="1"/>
        <v>0</v>
      </c>
      <c r="I27" s="183">
        <f t="shared" si="8"/>
        <v>0</v>
      </c>
      <c r="J27" s="181">
        <f t="shared" si="8"/>
        <v>0</v>
      </c>
      <c r="K27" s="179">
        <f t="shared" si="2"/>
        <v>0</v>
      </c>
      <c r="L27" s="242">
        <f>'ET Forecast Capital Additions'!$L26</f>
        <v>0.75</v>
      </c>
      <c r="M27" s="183">
        <f t="shared" si="3"/>
        <v>0</v>
      </c>
      <c r="N27" s="181">
        <f t="shared" si="4"/>
        <v>0</v>
      </c>
      <c r="O27" s="182">
        <f t="shared" si="5"/>
        <v>0</v>
      </c>
      <c r="P27" s="4">
        <f t="shared" si="9"/>
        <v>16</v>
      </c>
    </row>
    <row r="28" spans="1:16" x14ac:dyDescent="0.25">
      <c r="A28" s="4">
        <f t="shared" si="6"/>
        <v>17</v>
      </c>
      <c r="B28" s="539">
        <f>'ET Forecast Capital Additions'!B27</f>
        <v>46164</v>
      </c>
      <c r="C28" s="111">
        <v>0</v>
      </c>
      <c r="D28" s="674">
        <v>0</v>
      </c>
      <c r="E28" s="6">
        <f t="shared" si="0"/>
        <v>0</v>
      </c>
      <c r="F28" s="177">
        <f t="shared" si="7"/>
        <v>0</v>
      </c>
      <c r="G28" s="232">
        <f t="shared" si="7"/>
        <v>0</v>
      </c>
      <c r="H28" s="127">
        <f t="shared" si="1"/>
        <v>0</v>
      </c>
      <c r="I28" s="52">
        <f t="shared" si="8"/>
        <v>0</v>
      </c>
      <c r="J28" s="232">
        <f t="shared" si="8"/>
        <v>0</v>
      </c>
      <c r="K28" s="6">
        <f t="shared" si="2"/>
        <v>0</v>
      </c>
      <c r="L28" s="243">
        <f>'ET Forecast Capital Additions'!$L27</f>
        <v>0.66666666666666663</v>
      </c>
      <c r="M28" s="52">
        <f t="shared" si="3"/>
        <v>0</v>
      </c>
      <c r="N28" s="232">
        <f t="shared" si="4"/>
        <v>0</v>
      </c>
      <c r="O28" s="127">
        <f t="shared" si="5"/>
        <v>0</v>
      </c>
      <c r="P28" s="4">
        <f t="shared" si="9"/>
        <v>17</v>
      </c>
    </row>
    <row r="29" spans="1:16" x14ac:dyDescent="0.25">
      <c r="A29" s="4">
        <f t="shared" si="6"/>
        <v>18</v>
      </c>
      <c r="B29" s="539">
        <f>'ET Forecast Capital Additions'!B28</f>
        <v>46195</v>
      </c>
      <c r="C29" s="220">
        <v>0</v>
      </c>
      <c r="D29" s="674">
        <v>0</v>
      </c>
      <c r="E29" s="124">
        <f t="shared" si="0"/>
        <v>0</v>
      </c>
      <c r="F29" s="177">
        <f t="shared" si="7"/>
        <v>0</v>
      </c>
      <c r="G29" s="232">
        <f t="shared" si="7"/>
        <v>0</v>
      </c>
      <c r="H29" s="127">
        <f t="shared" si="1"/>
        <v>0</v>
      </c>
      <c r="I29" s="52">
        <f t="shared" si="8"/>
        <v>0</v>
      </c>
      <c r="J29" s="232">
        <f t="shared" si="8"/>
        <v>0</v>
      </c>
      <c r="K29" s="124">
        <f t="shared" si="2"/>
        <v>0</v>
      </c>
      <c r="L29" s="241">
        <f>'ET Forecast Capital Additions'!$L28</f>
        <v>0.58333333333333337</v>
      </c>
      <c r="M29" s="52">
        <f t="shared" si="3"/>
        <v>0</v>
      </c>
      <c r="N29" s="232">
        <f t="shared" si="4"/>
        <v>0</v>
      </c>
      <c r="O29" s="573">
        <f t="shared" si="5"/>
        <v>0</v>
      </c>
      <c r="P29" s="4">
        <f t="shared" si="9"/>
        <v>18</v>
      </c>
    </row>
    <row r="30" spans="1:16" x14ac:dyDescent="0.25">
      <c r="A30" s="4">
        <f t="shared" si="6"/>
        <v>19</v>
      </c>
      <c r="B30" s="539">
        <f>'ET Forecast Capital Additions'!B29</f>
        <v>46225</v>
      </c>
      <c r="C30" s="220">
        <v>0</v>
      </c>
      <c r="D30" s="674">
        <v>0</v>
      </c>
      <c r="E30" s="124">
        <f t="shared" si="0"/>
        <v>0</v>
      </c>
      <c r="F30" s="177">
        <f t="shared" si="7"/>
        <v>0</v>
      </c>
      <c r="G30" s="232">
        <f t="shared" si="7"/>
        <v>0</v>
      </c>
      <c r="H30" s="127">
        <f t="shared" si="1"/>
        <v>0</v>
      </c>
      <c r="I30" s="52">
        <f t="shared" si="8"/>
        <v>0</v>
      </c>
      <c r="J30" s="232">
        <f t="shared" si="8"/>
        <v>0</v>
      </c>
      <c r="K30" s="124">
        <f t="shared" si="2"/>
        <v>0</v>
      </c>
      <c r="L30" s="241">
        <f>'ET Forecast Capital Additions'!$L29</f>
        <v>0.5</v>
      </c>
      <c r="M30" s="52">
        <f t="shared" si="3"/>
        <v>0</v>
      </c>
      <c r="N30" s="232">
        <f t="shared" si="4"/>
        <v>0</v>
      </c>
      <c r="O30" s="573">
        <f t="shared" si="5"/>
        <v>0</v>
      </c>
      <c r="P30" s="4">
        <f t="shared" si="9"/>
        <v>19</v>
      </c>
    </row>
    <row r="31" spans="1:16" ht="16.5" thickBot="1" x14ac:dyDescent="0.3">
      <c r="A31" s="4">
        <f t="shared" si="6"/>
        <v>20</v>
      </c>
      <c r="B31" s="540">
        <f>'ET Forecast Capital Additions'!B30</f>
        <v>46256</v>
      </c>
      <c r="C31" s="221">
        <v>0</v>
      </c>
      <c r="D31" s="207">
        <v>0</v>
      </c>
      <c r="E31" s="179">
        <f t="shared" si="0"/>
        <v>0</v>
      </c>
      <c r="F31" s="180">
        <f t="shared" si="7"/>
        <v>0</v>
      </c>
      <c r="G31" s="181">
        <f t="shared" si="7"/>
        <v>0</v>
      </c>
      <c r="H31" s="212">
        <f t="shared" si="1"/>
        <v>0</v>
      </c>
      <c r="I31" s="183">
        <f t="shared" si="8"/>
        <v>0</v>
      </c>
      <c r="J31" s="181">
        <f t="shared" si="8"/>
        <v>0</v>
      </c>
      <c r="K31" s="179">
        <f t="shared" si="2"/>
        <v>0</v>
      </c>
      <c r="L31" s="242">
        <f>'ET Forecast Capital Additions'!$L30</f>
        <v>0.41666666666666669</v>
      </c>
      <c r="M31" s="183">
        <f t="shared" si="3"/>
        <v>0</v>
      </c>
      <c r="N31" s="181">
        <f t="shared" si="4"/>
        <v>0</v>
      </c>
      <c r="O31" s="182">
        <f t="shared" si="5"/>
        <v>0</v>
      </c>
      <c r="P31" s="4">
        <f t="shared" si="9"/>
        <v>20</v>
      </c>
    </row>
    <row r="32" spans="1:16" x14ac:dyDescent="0.25">
      <c r="A32" s="4">
        <f t="shared" si="6"/>
        <v>21</v>
      </c>
      <c r="B32" s="539">
        <f>'ET Forecast Capital Additions'!B31</f>
        <v>46287</v>
      </c>
      <c r="C32" s="220">
        <v>0</v>
      </c>
      <c r="D32" s="674">
        <v>0</v>
      </c>
      <c r="E32" s="124">
        <f t="shared" si="0"/>
        <v>0</v>
      </c>
      <c r="F32" s="177">
        <f t="shared" si="7"/>
        <v>0</v>
      </c>
      <c r="G32" s="232">
        <f t="shared" si="7"/>
        <v>0</v>
      </c>
      <c r="H32" s="127">
        <f t="shared" si="1"/>
        <v>0</v>
      </c>
      <c r="I32" s="52">
        <f t="shared" si="8"/>
        <v>0</v>
      </c>
      <c r="J32" s="232">
        <f t="shared" si="8"/>
        <v>0</v>
      </c>
      <c r="K32" s="124">
        <f t="shared" si="2"/>
        <v>0</v>
      </c>
      <c r="L32" s="243">
        <f>'ET Forecast Capital Additions'!$L31</f>
        <v>0.33333333333333331</v>
      </c>
      <c r="M32" s="52">
        <f t="shared" si="3"/>
        <v>0</v>
      </c>
      <c r="N32" s="232">
        <f t="shared" si="4"/>
        <v>0</v>
      </c>
      <c r="O32" s="573">
        <f t="shared" si="5"/>
        <v>0</v>
      </c>
      <c r="P32" s="4">
        <f t="shared" si="9"/>
        <v>21</v>
      </c>
    </row>
    <row r="33" spans="1:18" x14ac:dyDescent="0.25">
      <c r="A33" s="4">
        <f t="shared" si="6"/>
        <v>22</v>
      </c>
      <c r="B33" s="539">
        <f>'ET Forecast Capital Additions'!B32</f>
        <v>46317</v>
      </c>
      <c r="C33" s="111">
        <v>0</v>
      </c>
      <c r="D33" s="674">
        <v>0</v>
      </c>
      <c r="E33" s="6">
        <f t="shared" si="0"/>
        <v>0</v>
      </c>
      <c r="F33" s="177">
        <f t="shared" si="7"/>
        <v>0</v>
      </c>
      <c r="G33" s="232">
        <f t="shared" si="7"/>
        <v>0</v>
      </c>
      <c r="H33" s="127">
        <f t="shared" si="1"/>
        <v>0</v>
      </c>
      <c r="I33" s="52">
        <f t="shared" si="8"/>
        <v>0</v>
      </c>
      <c r="J33" s="232">
        <f t="shared" si="8"/>
        <v>0</v>
      </c>
      <c r="K33" s="6">
        <f t="shared" si="2"/>
        <v>0</v>
      </c>
      <c r="L33" s="241">
        <f>'ET Forecast Capital Additions'!$L32</f>
        <v>0.25</v>
      </c>
      <c r="M33" s="52">
        <f t="shared" si="3"/>
        <v>0</v>
      </c>
      <c r="N33" s="232">
        <f t="shared" si="4"/>
        <v>0</v>
      </c>
      <c r="O33" s="127">
        <f t="shared" si="5"/>
        <v>0</v>
      </c>
      <c r="P33" s="4">
        <f t="shared" si="9"/>
        <v>22</v>
      </c>
    </row>
    <row r="34" spans="1:18" x14ac:dyDescent="0.25">
      <c r="A34" s="4">
        <f t="shared" si="6"/>
        <v>23</v>
      </c>
      <c r="B34" s="539">
        <f>'ET Forecast Capital Additions'!B33</f>
        <v>46348</v>
      </c>
      <c r="C34" s="220">
        <v>0</v>
      </c>
      <c r="D34" s="674">
        <v>0</v>
      </c>
      <c r="E34" s="124">
        <f t="shared" si="0"/>
        <v>0</v>
      </c>
      <c r="F34" s="177">
        <f t="shared" si="7"/>
        <v>0</v>
      </c>
      <c r="G34" s="232">
        <f t="shared" si="7"/>
        <v>0</v>
      </c>
      <c r="H34" s="127">
        <f t="shared" si="1"/>
        <v>0</v>
      </c>
      <c r="I34" s="52">
        <f t="shared" si="8"/>
        <v>0</v>
      </c>
      <c r="J34" s="232">
        <f t="shared" si="8"/>
        <v>0</v>
      </c>
      <c r="K34" s="124">
        <f t="shared" si="2"/>
        <v>0</v>
      </c>
      <c r="L34" s="241">
        <f>'ET Forecast Capital Additions'!$L33</f>
        <v>0.16666666666666666</v>
      </c>
      <c r="M34" s="52">
        <f t="shared" si="3"/>
        <v>0</v>
      </c>
      <c r="N34" s="232">
        <f t="shared" si="4"/>
        <v>0</v>
      </c>
      <c r="O34" s="573">
        <f t="shared" si="5"/>
        <v>0</v>
      </c>
      <c r="P34" s="4">
        <f t="shared" si="9"/>
        <v>23</v>
      </c>
    </row>
    <row r="35" spans="1:18" ht="16.5" thickBot="1" x14ac:dyDescent="0.3">
      <c r="A35" s="4">
        <f t="shared" si="6"/>
        <v>24</v>
      </c>
      <c r="B35" s="539">
        <f>'ET Forecast Capital Additions'!B34</f>
        <v>46378</v>
      </c>
      <c r="C35" s="220">
        <v>0</v>
      </c>
      <c r="D35" s="674">
        <v>0</v>
      </c>
      <c r="E35" s="124">
        <f t="shared" si="0"/>
        <v>0</v>
      </c>
      <c r="F35" s="177">
        <f t="shared" si="7"/>
        <v>0</v>
      </c>
      <c r="G35" s="232">
        <f t="shared" si="7"/>
        <v>0</v>
      </c>
      <c r="H35" s="573">
        <f t="shared" si="1"/>
        <v>0</v>
      </c>
      <c r="I35" s="183">
        <f t="shared" si="8"/>
        <v>0</v>
      </c>
      <c r="J35" s="181">
        <f t="shared" si="8"/>
        <v>0</v>
      </c>
      <c r="K35" s="124">
        <f t="shared" si="2"/>
        <v>0</v>
      </c>
      <c r="L35" s="241">
        <f>'ET Forecast Capital Additions'!$L34</f>
        <v>8.3333333333333329E-2</v>
      </c>
      <c r="M35" s="183">
        <f t="shared" si="3"/>
        <v>0</v>
      </c>
      <c r="N35" s="181">
        <f t="shared" si="4"/>
        <v>0</v>
      </c>
      <c r="O35" s="573">
        <f t="shared" si="5"/>
        <v>0</v>
      </c>
      <c r="P35" s="4">
        <f t="shared" si="9"/>
        <v>24</v>
      </c>
    </row>
    <row r="36" spans="1:18" ht="16.5" thickBot="1" x14ac:dyDescent="0.3">
      <c r="A36" s="4">
        <f t="shared" si="6"/>
        <v>25</v>
      </c>
      <c r="B36" s="541" t="s">
        <v>180</v>
      </c>
      <c r="C36" s="191">
        <f t="shared" ref="C36:K36" si="10">SUM(C12:C35)</f>
        <v>0</v>
      </c>
      <c r="D36" s="188">
        <f t="shared" si="10"/>
        <v>0</v>
      </c>
      <c r="E36" s="189">
        <f t="shared" si="10"/>
        <v>0</v>
      </c>
      <c r="F36" s="187">
        <f t="shared" si="10"/>
        <v>0</v>
      </c>
      <c r="G36" s="188">
        <f t="shared" si="10"/>
        <v>0</v>
      </c>
      <c r="H36" s="190">
        <f t="shared" si="10"/>
        <v>0</v>
      </c>
      <c r="I36" s="191">
        <f t="shared" si="10"/>
        <v>0</v>
      </c>
      <c r="J36" s="188">
        <f t="shared" si="10"/>
        <v>0</v>
      </c>
      <c r="K36" s="189">
        <f t="shared" si="10"/>
        <v>0</v>
      </c>
      <c r="L36" s="192"/>
      <c r="M36" s="191">
        <f>SUM(M12:M35)</f>
        <v>0</v>
      </c>
      <c r="N36" s="188">
        <f>SUM(N12:N35)</f>
        <v>0</v>
      </c>
      <c r="O36" s="190">
        <f>SUM(O12:O35)</f>
        <v>0</v>
      </c>
      <c r="P36" s="4">
        <f t="shared" si="9"/>
        <v>25</v>
      </c>
    </row>
    <row r="37" spans="1:18" x14ac:dyDescent="0.25">
      <c r="A37" s="4">
        <f>A36+1</f>
        <v>26</v>
      </c>
      <c r="B37" s="515"/>
      <c r="C37" s="6"/>
      <c r="D37" s="6"/>
      <c r="E37" s="542"/>
      <c r="F37" s="31"/>
      <c r="G37" s="31"/>
      <c r="H37" s="6"/>
      <c r="I37" s="31"/>
      <c r="J37" s="31"/>
      <c r="K37" s="6"/>
      <c r="L37" s="31"/>
      <c r="M37" s="31"/>
      <c r="N37" s="31"/>
      <c r="O37" s="127"/>
      <c r="P37" s="4">
        <f>P36+1</f>
        <v>26</v>
      </c>
      <c r="Q37" s="31"/>
      <c r="R37" s="31"/>
    </row>
    <row r="38" spans="1:18" s="413" customFormat="1" x14ac:dyDescent="0.25">
      <c r="A38" s="4">
        <f>A37+1</f>
        <v>27</v>
      </c>
      <c r="B38" s="543"/>
      <c r="E38" s="31" t="s">
        <v>1434</v>
      </c>
      <c r="F38" s="544"/>
      <c r="G38" s="544"/>
      <c r="H38" s="28">
        <f>'ET Forecast Capital Additions'!H37</f>
        <v>17304.988000000001</v>
      </c>
      <c r="I38" s="193"/>
      <c r="J38" s="31" t="str">
        <f>'ET Forecast Capital Additions'!J37</f>
        <v>Form 1; Page 204-207; Line 58; Col. d</v>
      </c>
      <c r="O38" s="545"/>
      <c r="P38" s="4">
        <f>P37+1</f>
        <v>27</v>
      </c>
      <c r="Q38" s="31"/>
    </row>
    <row r="39" spans="1:18" s="413" customFormat="1" x14ac:dyDescent="0.25">
      <c r="A39" s="4">
        <f>A38+1</f>
        <v>28</v>
      </c>
      <c r="B39" s="543"/>
      <c r="E39" s="31"/>
      <c r="F39" s="544"/>
      <c r="G39" s="544"/>
      <c r="H39" s="6"/>
      <c r="I39" s="193"/>
      <c r="J39" s="31"/>
      <c r="O39" s="545"/>
      <c r="P39" s="4">
        <f>P38+1</f>
        <v>28</v>
      </c>
    </row>
    <row r="40" spans="1:18" s="413" customFormat="1" x14ac:dyDescent="0.25">
      <c r="A40" s="4">
        <f t="shared" ref="A40:A42" si="11">A39+1</f>
        <v>29</v>
      </c>
      <c r="B40" s="543"/>
      <c r="E40" s="31" t="s">
        <v>1436</v>
      </c>
      <c r="F40" s="544"/>
      <c r="G40" s="544"/>
      <c r="H40" s="912">
        <f>'ET Forecast Capital Additions'!H39</f>
        <v>9392029.3249999993</v>
      </c>
      <c r="I40" s="193"/>
      <c r="J40" s="31" t="str">
        <f>'ET Forecast Capital Additions'!J39</f>
        <v>Form 1; Page 204-207; Line 58; Col. g</v>
      </c>
      <c r="O40" s="545"/>
      <c r="P40" s="4">
        <f t="shared" ref="P40:P47" si="12">P39+1</f>
        <v>29</v>
      </c>
    </row>
    <row r="41" spans="1:18" s="31" customFormat="1" ht="16.5" thickBot="1" x14ac:dyDescent="0.3">
      <c r="A41" s="4">
        <f t="shared" si="11"/>
        <v>30</v>
      </c>
      <c r="B41" s="515"/>
      <c r="E41" s="1"/>
      <c r="F41" s="1"/>
      <c r="G41" s="1"/>
      <c r="O41" s="380"/>
      <c r="P41" s="4">
        <f t="shared" si="12"/>
        <v>30</v>
      </c>
      <c r="Q41" s="413"/>
      <c r="R41" s="413"/>
    </row>
    <row r="42" spans="1:18" ht="16.5" thickBot="1" x14ac:dyDescent="0.3">
      <c r="A42" s="4">
        <f t="shared" si="11"/>
        <v>31</v>
      </c>
      <c r="B42" s="515"/>
      <c r="C42" s="31"/>
      <c r="D42" s="31"/>
      <c r="E42" s="1" t="s">
        <v>1438</v>
      </c>
      <c r="F42" s="31"/>
      <c r="G42" s="31"/>
      <c r="H42" s="194">
        <f>IFERROR(H38/H40,0)</f>
        <v>1.8425185230136621E-3</v>
      </c>
      <c r="I42" s="31"/>
      <c r="J42" s="31" t="s">
        <v>1439</v>
      </c>
      <c r="K42" s="47"/>
      <c r="L42" s="31"/>
      <c r="M42" s="31"/>
      <c r="N42" s="31"/>
      <c r="O42" s="380"/>
      <c r="P42" s="4">
        <f t="shared" si="12"/>
        <v>31</v>
      </c>
      <c r="Q42" s="31"/>
      <c r="R42" s="31"/>
    </row>
    <row r="43" spans="1:18" ht="16.5" thickBot="1" x14ac:dyDescent="0.3">
      <c r="A43" s="4">
        <f t="shared" si="6"/>
        <v>32</v>
      </c>
      <c r="B43" s="546"/>
      <c r="C43" s="862"/>
      <c r="D43" s="862"/>
      <c r="E43" s="892"/>
      <c r="F43" s="862"/>
      <c r="G43" s="862"/>
      <c r="H43" s="1072"/>
      <c r="I43" s="862"/>
      <c r="J43" s="862"/>
      <c r="K43" s="862"/>
      <c r="L43" s="862"/>
      <c r="M43" s="862"/>
      <c r="N43" s="862"/>
      <c r="O43" s="195"/>
      <c r="P43" s="4">
        <f t="shared" si="12"/>
        <v>32</v>
      </c>
      <c r="Q43" s="413"/>
      <c r="R43" s="31"/>
    </row>
    <row r="44" spans="1:18" ht="16.5" thickBot="1" x14ac:dyDescent="0.3">
      <c r="A44" s="4">
        <f t="shared" si="6"/>
        <v>33</v>
      </c>
      <c r="B44" s="515"/>
      <c r="C44" s="31"/>
      <c r="D44" s="31"/>
      <c r="E44" s="6"/>
      <c r="F44" s="31"/>
      <c r="G44" s="31"/>
      <c r="H44" s="31"/>
      <c r="I44" s="31"/>
      <c r="J44" s="31"/>
      <c r="K44" s="6" t="s">
        <v>1</v>
      </c>
      <c r="L44" s="31"/>
      <c r="M44" s="47"/>
      <c r="N44" s="47"/>
      <c r="O44" s="547"/>
      <c r="P44" s="4">
        <f t="shared" si="12"/>
        <v>33</v>
      </c>
      <c r="Q44" s="413"/>
      <c r="R44" s="31"/>
    </row>
    <row r="45" spans="1:18" ht="16.5" thickBot="1" x14ac:dyDescent="0.3">
      <c r="A45" s="4">
        <f t="shared" si="6"/>
        <v>34</v>
      </c>
      <c r="B45" s="548"/>
      <c r="C45" s="31"/>
      <c r="D45" s="250"/>
      <c r="E45" s="549"/>
      <c r="F45" s="1073"/>
      <c r="G45" s="1074"/>
      <c r="H45" s="1074" t="s">
        <v>1440</v>
      </c>
      <c r="I45" s="550" t="s">
        <v>1441</v>
      </c>
      <c r="J45" s="551" t="s">
        <v>1442</v>
      </c>
      <c r="K45" s="552" t="s">
        <v>1399</v>
      </c>
      <c r="L45" s="1"/>
      <c r="M45" s="553" t="s">
        <v>1402</v>
      </c>
      <c r="N45" s="554" t="s">
        <v>1403</v>
      </c>
      <c r="O45" s="555" t="s">
        <v>1443</v>
      </c>
      <c r="P45" s="4">
        <f t="shared" si="12"/>
        <v>34</v>
      </c>
      <c r="Q45" s="413"/>
      <c r="R45" s="31"/>
    </row>
    <row r="46" spans="1:18" ht="16.5" thickBot="1" x14ac:dyDescent="0.3">
      <c r="A46" s="4">
        <f t="shared" si="6"/>
        <v>35</v>
      </c>
      <c r="B46" s="515"/>
      <c r="C46" s="31"/>
      <c r="D46" s="31"/>
      <c r="E46" s="556"/>
      <c r="F46" s="363"/>
      <c r="G46" s="557"/>
      <c r="H46" s="557" t="s">
        <v>1444</v>
      </c>
      <c r="I46" s="196">
        <f>+I36</f>
        <v>0</v>
      </c>
      <c r="J46" s="196">
        <f>+J36</f>
        <v>0</v>
      </c>
      <c r="K46" s="196">
        <f>+K36</f>
        <v>0</v>
      </c>
      <c r="L46" s="43"/>
      <c r="M46" s="196">
        <f>+M36</f>
        <v>0</v>
      </c>
      <c r="N46" s="196">
        <f>+N36</f>
        <v>0</v>
      </c>
      <c r="O46" s="196">
        <f>+O36</f>
        <v>0</v>
      </c>
      <c r="P46" s="4">
        <f t="shared" si="12"/>
        <v>35</v>
      </c>
      <c r="Q46" s="31"/>
      <c r="R46" s="31"/>
    </row>
    <row r="47" spans="1:18" ht="16.5" thickTop="1" x14ac:dyDescent="0.25">
      <c r="A47" s="4">
        <f t="shared" si="6"/>
        <v>36</v>
      </c>
      <c r="B47" s="515"/>
      <c r="C47" s="31"/>
      <c r="D47" s="31"/>
      <c r="E47" s="515"/>
      <c r="F47" s="31"/>
      <c r="G47" s="29"/>
      <c r="H47" s="29"/>
      <c r="I47" s="216"/>
      <c r="J47" s="216"/>
      <c r="K47" s="216"/>
      <c r="L47" s="31"/>
      <c r="M47" s="216"/>
      <c r="N47" s="216"/>
      <c r="O47" s="216"/>
      <c r="P47" s="4">
        <f t="shared" si="12"/>
        <v>36</v>
      </c>
      <c r="Q47" s="31"/>
      <c r="R47" s="31"/>
    </row>
    <row r="48" spans="1:18" ht="16.5" thickBot="1" x14ac:dyDescent="0.3">
      <c r="A48" s="4">
        <f>A47+1</f>
        <v>37</v>
      </c>
      <c r="B48" s="515"/>
      <c r="C48" s="31"/>
      <c r="D48" s="31"/>
      <c r="E48" s="515"/>
      <c r="F48" s="31"/>
      <c r="G48" s="29"/>
      <c r="H48" s="471" t="s">
        <v>1445</v>
      </c>
      <c r="I48" s="200">
        <f>IFERROR((+I46/K46),0)</f>
        <v>0</v>
      </c>
      <c r="J48" s="200">
        <f>IFERROR((+J46/K46),0)</f>
        <v>0</v>
      </c>
      <c r="K48" s="200">
        <f>I48+J48</f>
        <v>0</v>
      </c>
      <c r="L48" s="1"/>
      <c r="M48" s="200">
        <f>IFERROR((+M46/O46),0)</f>
        <v>0</v>
      </c>
      <c r="N48" s="200">
        <f>IFERROR((+N46/O46),0)</f>
        <v>0</v>
      </c>
      <c r="O48" s="200">
        <f>M48+N48</f>
        <v>0</v>
      </c>
      <c r="P48" s="4">
        <f>P47+1</f>
        <v>37</v>
      </c>
      <c r="Q48" s="31"/>
      <c r="R48" s="31"/>
    </row>
    <row r="49" spans="1:18" ht="17.25" thickTop="1" thickBot="1" x14ac:dyDescent="0.3">
      <c r="A49" s="4">
        <f t="shared" si="6"/>
        <v>38</v>
      </c>
      <c r="B49" s="514"/>
      <c r="C49" s="31"/>
      <c r="D49" s="31"/>
      <c r="E49" s="546"/>
      <c r="F49" s="862"/>
      <c r="G49" s="862"/>
      <c r="H49" s="862"/>
      <c r="I49" s="204"/>
      <c r="J49" s="204"/>
      <c r="K49" s="195"/>
      <c r="L49" s="31"/>
      <c r="M49" s="205"/>
      <c r="N49" s="206"/>
      <c r="O49" s="195"/>
      <c r="P49" s="4">
        <f t="shared" si="9"/>
        <v>38</v>
      </c>
      <c r="Q49" s="31"/>
      <c r="R49" s="31"/>
    </row>
    <row r="50" spans="1:18" ht="16.5" thickBot="1" x14ac:dyDescent="0.3">
      <c r="A50" s="4">
        <f t="shared" si="6"/>
        <v>39</v>
      </c>
      <c r="B50" s="519"/>
      <c r="C50" s="862"/>
      <c r="D50" s="862"/>
      <c r="E50" s="862"/>
      <c r="F50" s="862"/>
      <c r="G50" s="862"/>
      <c r="H50" s="862"/>
      <c r="I50" s="862"/>
      <c r="J50" s="862"/>
      <c r="K50" s="862"/>
      <c r="L50" s="862"/>
      <c r="M50" s="862"/>
      <c r="N50" s="862"/>
      <c r="O50" s="195"/>
      <c r="P50" s="4">
        <f t="shared" si="9"/>
        <v>39</v>
      </c>
      <c r="R50" s="31"/>
    </row>
    <row r="51" spans="1:18" x14ac:dyDescent="0.25">
      <c r="B51" s="1"/>
      <c r="C51" s="31"/>
      <c r="D51" s="31"/>
      <c r="E51" s="31"/>
      <c r="F51" s="31"/>
      <c r="G51" s="31"/>
      <c r="H51" s="31"/>
      <c r="I51" s="31"/>
      <c r="J51" s="31"/>
      <c r="K51" s="31"/>
      <c r="L51" s="31"/>
      <c r="M51" s="31"/>
      <c r="N51" s="31"/>
      <c r="O51" s="31"/>
    </row>
    <row r="52" spans="1:18" x14ac:dyDescent="0.25">
      <c r="B52" s="1"/>
      <c r="C52" s="31"/>
      <c r="D52" s="31"/>
      <c r="E52" s="31"/>
      <c r="F52" s="31"/>
      <c r="G52" s="31"/>
      <c r="H52" s="31"/>
      <c r="I52" s="31"/>
      <c r="J52" s="31"/>
      <c r="K52" s="31"/>
      <c r="L52" s="31"/>
      <c r="M52" s="31"/>
      <c r="N52" s="31"/>
      <c r="O52" s="31"/>
    </row>
    <row r="53" spans="1:18" x14ac:dyDescent="0.25">
      <c r="B53" s="1"/>
      <c r="C53" s="31"/>
      <c r="D53" s="31"/>
      <c r="E53" s="31"/>
      <c r="F53" s="31"/>
      <c r="G53" s="31"/>
      <c r="H53" s="31"/>
      <c r="I53" s="31"/>
      <c r="J53" s="31"/>
      <c r="K53" s="31"/>
      <c r="L53" s="31"/>
      <c r="M53" s="31"/>
      <c r="N53" s="31"/>
      <c r="O53" s="31"/>
    </row>
    <row r="54" spans="1:18" x14ac:dyDescent="0.25">
      <c r="B54" s="565"/>
      <c r="C54" s="6"/>
      <c r="D54" s="6"/>
      <c r="E54" s="6"/>
      <c r="F54" s="6"/>
      <c r="G54" s="6"/>
      <c r="H54" s="6"/>
      <c r="I54" s="6"/>
      <c r="J54" s="6"/>
      <c r="K54" s="6"/>
      <c r="L54" s="427"/>
      <c r="M54" s="6"/>
      <c r="N54" s="6"/>
      <c r="O54" s="6"/>
    </row>
    <row r="55" spans="1:18" x14ac:dyDescent="0.25">
      <c r="B55" s="565"/>
      <c r="C55" s="6"/>
      <c r="D55" s="6"/>
      <c r="E55" s="6"/>
      <c r="F55" s="6"/>
      <c r="G55" s="6"/>
      <c r="H55" s="6"/>
      <c r="I55" s="6"/>
      <c r="J55" s="6"/>
      <c r="K55" s="6"/>
      <c r="L55" s="427"/>
      <c r="M55" s="6"/>
      <c r="N55" s="6"/>
      <c r="O55" s="6"/>
    </row>
    <row r="56" spans="1:18" x14ac:dyDescent="0.25">
      <c r="B56" s="565"/>
      <c r="C56" s="6"/>
      <c r="D56" s="6"/>
      <c r="E56" s="6"/>
      <c r="F56" s="6"/>
      <c r="G56" s="6"/>
      <c r="H56" s="6"/>
      <c r="I56" s="6"/>
      <c r="J56" s="6"/>
      <c r="K56" s="6"/>
      <c r="L56" s="427"/>
      <c r="M56" s="6"/>
      <c r="N56" s="6"/>
      <c r="O56" s="6"/>
    </row>
    <row r="57" spans="1:18" x14ac:dyDescent="0.25">
      <c r="B57" s="565"/>
      <c r="C57" s="6"/>
      <c r="D57" s="6"/>
      <c r="E57" s="6"/>
      <c r="F57" s="6"/>
      <c r="G57" s="6"/>
      <c r="H57" s="6"/>
      <c r="I57" s="6"/>
      <c r="J57" s="6"/>
      <c r="K57" s="6"/>
      <c r="L57" s="427"/>
      <c r="M57" s="6"/>
      <c r="N57" s="6"/>
      <c r="O57" s="6"/>
    </row>
    <row r="58" spans="1:18" x14ac:dyDescent="0.25">
      <c r="B58" s="565"/>
      <c r="C58" s="6"/>
      <c r="D58" s="6"/>
      <c r="E58" s="6"/>
      <c r="F58" s="6"/>
      <c r="G58" s="6"/>
      <c r="H58" s="6"/>
      <c r="I58" s="6"/>
      <c r="J58" s="6"/>
      <c r="K58" s="6"/>
      <c r="L58" s="427"/>
      <c r="M58" s="6"/>
      <c r="N58" s="6"/>
      <c r="O58" s="6"/>
    </row>
    <row r="59" spans="1:18" x14ac:dyDescent="0.25">
      <c r="B59" s="565"/>
      <c r="C59" s="31"/>
      <c r="D59" s="31"/>
      <c r="E59" s="31"/>
      <c r="F59" s="31"/>
      <c r="G59" s="31"/>
      <c r="H59" s="31"/>
      <c r="I59" s="31"/>
      <c r="J59" s="31"/>
      <c r="K59" s="31"/>
      <c r="L59" s="31"/>
      <c r="M59" s="31"/>
      <c r="N59" s="31"/>
      <c r="O59" s="31"/>
    </row>
  </sheetData>
  <mergeCells count="6">
    <mergeCell ref="B7:O7"/>
    <mergeCell ref="B2:O2"/>
    <mergeCell ref="B3:O3"/>
    <mergeCell ref="B4:O4"/>
    <mergeCell ref="B5:O5"/>
    <mergeCell ref="B6:O6"/>
  </mergeCells>
  <printOptions horizontalCentered="1"/>
  <pageMargins left="0.5" right="0.5" top="0.5" bottom="0.5" header="0.25" footer="0.25"/>
  <pageSetup scale="58" orientation="landscape" r:id="rId1"/>
  <headerFooter scaleWithDoc="0">
    <oddFooter>&amp;C&amp;"Times New Roman,Regular"&amp;10Summary of Weighted Incentive Transmission CWIP - B</oddFooter>
  </headerFooter>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Q172"/>
  <sheetViews>
    <sheetView zoomScale="80" zoomScaleNormal="80" workbookViewId="0">
      <selection activeCell="P41" sqref="P41"/>
    </sheetView>
  </sheetViews>
  <sheetFormatPr defaultColWidth="9.28515625" defaultRowHeight="15.75" x14ac:dyDescent="0.25"/>
  <cols>
    <col min="1" max="1" width="5.28515625" style="4" customWidth="1"/>
    <col min="2" max="2" width="11.28515625" style="4" customWidth="1"/>
    <col min="3" max="3" width="32.42578125" style="31" customWidth="1"/>
    <col min="4" max="10" width="18.5703125" style="6" customWidth="1"/>
    <col min="11" max="11" width="18.5703125" style="31" customWidth="1"/>
    <col min="12" max="12" width="24" style="31" customWidth="1"/>
    <col min="13" max="14" width="5.28515625" style="4" customWidth="1"/>
    <col min="15" max="16384" width="9.28515625" style="31"/>
  </cols>
  <sheetData>
    <row r="2" spans="1:16" s="1" customFormat="1" x14ac:dyDescent="0.25">
      <c r="A2" s="217"/>
      <c r="B2" s="1316" t="s">
        <v>0</v>
      </c>
      <c r="C2" s="1316"/>
      <c r="D2" s="1316"/>
      <c r="E2" s="1316"/>
      <c r="F2" s="1316"/>
      <c r="G2" s="1316"/>
      <c r="H2" s="1316"/>
      <c r="I2" s="1316"/>
      <c r="J2" s="1316"/>
      <c r="K2" s="1316"/>
      <c r="L2" s="1316"/>
      <c r="M2" s="217"/>
      <c r="N2" s="217"/>
      <c r="P2"/>
    </row>
    <row r="3" spans="1:16" s="1" customFormat="1" x14ac:dyDescent="0.25">
      <c r="A3" s="217"/>
      <c r="B3" s="1316" t="s">
        <v>296</v>
      </c>
      <c r="C3" s="1316"/>
      <c r="D3" s="1316"/>
      <c r="E3" s="1316"/>
      <c r="F3" s="1316"/>
      <c r="G3" s="1316"/>
      <c r="H3" s="1316"/>
      <c r="I3" s="1316"/>
      <c r="J3" s="1316"/>
      <c r="K3" s="1316"/>
      <c r="L3" s="1316"/>
      <c r="M3" s="217"/>
      <c r="N3" s="217"/>
    </row>
    <row r="4" spans="1:16" x14ac:dyDescent="0.25">
      <c r="B4" s="1316" t="s">
        <v>297</v>
      </c>
      <c r="C4" s="1316"/>
      <c r="D4" s="1316"/>
      <c r="E4" s="1316"/>
      <c r="F4" s="1316"/>
      <c r="G4" s="1316"/>
      <c r="H4" s="1316"/>
      <c r="I4" s="1316"/>
      <c r="J4" s="1316"/>
      <c r="K4" s="1316"/>
      <c r="L4" s="1316"/>
    </row>
    <row r="5" spans="1:16" x14ac:dyDescent="0.25">
      <c r="B5" s="1312" t="s">
        <v>2063</v>
      </c>
      <c r="C5" s="1312"/>
      <c r="D5" s="1312"/>
      <c r="E5" s="1312"/>
      <c r="F5" s="1312"/>
      <c r="G5" s="1312"/>
      <c r="H5" s="1312"/>
      <c r="I5" s="1312"/>
      <c r="J5" s="1312"/>
      <c r="K5" s="1312"/>
      <c r="L5" s="1312"/>
    </row>
    <row r="6" spans="1:16" x14ac:dyDescent="0.25">
      <c r="B6" s="1312" t="s">
        <v>4</v>
      </c>
      <c r="C6" s="1316"/>
      <c r="D6" s="1316"/>
      <c r="E6" s="1316"/>
      <c r="F6" s="1316"/>
      <c r="G6" s="1316"/>
      <c r="H6" s="1316"/>
      <c r="I6" s="1316"/>
      <c r="J6" s="1316"/>
      <c r="K6" s="1316"/>
      <c r="L6" s="1316"/>
    </row>
    <row r="7" spans="1:16" x14ac:dyDescent="0.25">
      <c r="C7" s="266"/>
      <c r="D7" s="267"/>
      <c r="E7" s="293"/>
      <c r="F7" s="293"/>
      <c r="G7" s="293"/>
      <c r="H7" s="293"/>
      <c r="I7" s="293"/>
      <c r="J7" s="293"/>
    </row>
    <row r="8" spans="1:16" s="217" customFormat="1" x14ac:dyDescent="0.25">
      <c r="B8" s="925"/>
      <c r="C8" s="943"/>
      <c r="D8" s="944" t="s">
        <v>298</v>
      </c>
      <c r="E8" s="944" t="s">
        <v>299</v>
      </c>
      <c r="F8" s="944" t="s">
        <v>300</v>
      </c>
      <c r="G8" s="944" t="s">
        <v>301</v>
      </c>
      <c r="H8" s="944" t="s">
        <v>302</v>
      </c>
      <c r="I8" s="944" t="s">
        <v>303</v>
      </c>
      <c r="J8" s="958" t="s">
        <v>304</v>
      </c>
      <c r="K8" s="958" t="s">
        <v>305</v>
      </c>
      <c r="L8" s="925"/>
      <c r="M8" s="217" t="s">
        <v>1</v>
      </c>
    </row>
    <row r="9" spans="1:16" x14ac:dyDescent="0.25">
      <c r="B9" s="945"/>
      <c r="C9" s="926"/>
      <c r="D9" s="294"/>
      <c r="E9" s="294"/>
      <c r="F9" s="294"/>
      <c r="G9" s="294"/>
      <c r="H9" s="294"/>
      <c r="I9" s="294"/>
      <c r="J9" s="303"/>
      <c r="K9" s="304" t="s">
        <v>180</v>
      </c>
      <c r="L9" s="945"/>
      <c r="M9" s="4" t="s">
        <v>1</v>
      </c>
    </row>
    <row r="10" spans="1:16" x14ac:dyDescent="0.25">
      <c r="B10" s="945"/>
      <c r="C10" s="926"/>
      <c r="D10" s="294"/>
      <c r="E10" s="294" t="s">
        <v>306</v>
      </c>
      <c r="F10" s="294" t="s">
        <v>290</v>
      </c>
      <c r="G10" s="294" t="s">
        <v>295</v>
      </c>
      <c r="H10" s="294" t="s">
        <v>295</v>
      </c>
      <c r="I10" s="294" t="s">
        <v>295</v>
      </c>
      <c r="J10" s="303" t="s">
        <v>295</v>
      </c>
      <c r="K10" s="303" t="s">
        <v>295</v>
      </c>
      <c r="L10" s="932"/>
      <c r="M10" s="4" t="s">
        <v>1</v>
      </c>
    </row>
    <row r="11" spans="1:16" x14ac:dyDescent="0.25">
      <c r="B11" s="296"/>
      <c r="C11" s="233"/>
      <c r="D11" s="298" t="s">
        <v>180</v>
      </c>
      <c r="E11" s="294" t="s">
        <v>307</v>
      </c>
      <c r="F11" s="294" t="s">
        <v>307</v>
      </c>
      <c r="G11" s="294" t="s">
        <v>307</v>
      </c>
      <c r="H11" s="294" t="s">
        <v>307</v>
      </c>
      <c r="I11" s="294" t="s">
        <v>307</v>
      </c>
      <c r="J11" s="303" t="s">
        <v>307</v>
      </c>
      <c r="K11" s="303" t="s">
        <v>291</v>
      </c>
      <c r="L11" s="269"/>
    </row>
    <row r="12" spans="1:16" x14ac:dyDescent="0.25">
      <c r="A12" s="4" t="s">
        <v>5</v>
      </c>
      <c r="B12" s="297"/>
      <c r="C12" s="277"/>
      <c r="D12" s="298" t="s">
        <v>295</v>
      </c>
      <c r="E12" s="294" t="s">
        <v>308</v>
      </c>
      <c r="F12" s="294" t="s">
        <v>308</v>
      </c>
      <c r="G12" s="294" t="s">
        <v>308</v>
      </c>
      <c r="H12" s="294" t="s">
        <v>308</v>
      </c>
      <c r="I12" s="294" t="s">
        <v>308</v>
      </c>
      <c r="J12" s="303" t="s">
        <v>308</v>
      </c>
      <c r="K12" s="303" t="s">
        <v>309</v>
      </c>
      <c r="L12" s="269"/>
      <c r="M12" s="4" t="s">
        <v>5</v>
      </c>
    </row>
    <row r="13" spans="1:16" x14ac:dyDescent="0.25">
      <c r="A13" s="4" t="s">
        <v>6</v>
      </c>
      <c r="B13" s="305" t="s">
        <v>310</v>
      </c>
      <c r="C13" s="274" t="s">
        <v>311</v>
      </c>
      <c r="D13" s="306" t="s">
        <v>307</v>
      </c>
      <c r="E13" s="300" t="s">
        <v>312</v>
      </c>
      <c r="F13" s="300" t="s">
        <v>313</v>
      </c>
      <c r="G13" s="300" t="s">
        <v>314</v>
      </c>
      <c r="H13" s="300" t="s">
        <v>315</v>
      </c>
      <c r="I13" s="300" t="s">
        <v>284</v>
      </c>
      <c r="J13" s="307" t="s">
        <v>316</v>
      </c>
      <c r="K13" s="308" t="s">
        <v>317</v>
      </c>
      <c r="L13" s="274" t="s">
        <v>8</v>
      </c>
      <c r="M13" s="4" t="s">
        <v>6</v>
      </c>
    </row>
    <row r="14" spans="1:16" x14ac:dyDescent="0.25">
      <c r="B14" s="932"/>
      <c r="C14" s="233" t="s">
        <v>318</v>
      </c>
      <c r="D14" s="233"/>
      <c r="E14" s="233"/>
      <c r="F14" s="233"/>
      <c r="G14" s="233"/>
      <c r="H14" s="233"/>
      <c r="I14" s="233"/>
      <c r="J14" s="233"/>
      <c r="K14" s="62"/>
      <c r="L14" s="932"/>
    </row>
    <row r="15" spans="1:16" x14ac:dyDescent="0.25">
      <c r="A15" s="4">
        <v>1</v>
      </c>
      <c r="B15" s="947">
        <v>303</v>
      </c>
      <c r="C15" s="233" t="s">
        <v>319</v>
      </c>
      <c r="D15" s="231">
        <v>0</v>
      </c>
      <c r="E15" s="231">
        <v>0</v>
      </c>
      <c r="F15" s="231">
        <v>0</v>
      </c>
      <c r="G15" s="231">
        <v>0</v>
      </c>
      <c r="H15" s="231">
        <v>0</v>
      </c>
      <c r="I15" s="231">
        <v>0</v>
      </c>
      <c r="J15" s="231">
        <v>0</v>
      </c>
      <c r="K15" s="58">
        <f>SUM(D15:J15)</f>
        <v>0</v>
      </c>
      <c r="L15" s="932" t="s">
        <v>263</v>
      </c>
      <c r="M15" s="4">
        <f>A15</f>
        <v>1</v>
      </c>
    </row>
    <row r="16" spans="1:16" x14ac:dyDescent="0.25">
      <c r="A16" s="4">
        <f>A15+1</f>
        <v>2</v>
      </c>
      <c r="B16" s="932">
        <v>310.10000000000002</v>
      </c>
      <c r="C16" s="233" t="s">
        <v>320</v>
      </c>
      <c r="D16" s="232">
        <v>0</v>
      </c>
      <c r="E16" s="232">
        <v>0</v>
      </c>
      <c r="F16" s="232">
        <v>0</v>
      </c>
      <c r="G16" s="232">
        <v>0</v>
      </c>
      <c r="H16" s="232">
        <v>0</v>
      </c>
      <c r="I16" s="232">
        <v>0</v>
      </c>
      <c r="J16" s="232">
        <v>0</v>
      </c>
      <c r="K16" s="52">
        <f>SUM(D16:J16)</f>
        <v>0</v>
      </c>
      <c r="L16" s="932" t="s">
        <v>263</v>
      </c>
      <c r="M16" s="4">
        <f>M15+1</f>
        <v>2</v>
      </c>
    </row>
    <row r="17" spans="1:14" x14ac:dyDescent="0.25">
      <c r="A17" s="4">
        <f t="shared" ref="A17:A38" si="0">A16+1</f>
        <v>3</v>
      </c>
      <c r="B17" s="947">
        <v>340</v>
      </c>
      <c r="C17" s="948" t="s">
        <v>321</v>
      </c>
      <c r="D17" s="232">
        <v>0</v>
      </c>
      <c r="E17" s="232">
        <v>4.4929184919999994</v>
      </c>
      <c r="F17" s="232">
        <v>0</v>
      </c>
      <c r="G17" s="232">
        <v>0</v>
      </c>
      <c r="H17" s="232">
        <v>0</v>
      </c>
      <c r="I17" s="232">
        <v>0</v>
      </c>
      <c r="J17" s="232">
        <v>0</v>
      </c>
      <c r="K17" s="52">
        <f>SUM(D17:J17)</f>
        <v>4.4929184919999994</v>
      </c>
      <c r="L17" s="932" t="s">
        <v>263</v>
      </c>
      <c r="M17" s="4">
        <f t="shared" ref="M17:M38" si="1">M16+1</f>
        <v>3</v>
      </c>
    </row>
    <row r="18" spans="1:14" x14ac:dyDescent="0.25">
      <c r="A18" s="4">
        <f t="shared" si="0"/>
        <v>4</v>
      </c>
      <c r="B18" s="947">
        <v>360</v>
      </c>
      <c r="C18" s="948" t="s">
        <v>321</v>
      </c>
      <c r="D18" s="232">
        <v>0</v>
      </c>
      <c r="E18" s="232">
        <v>0</v>
      </c>
      <c r="F18" s="232">
        <v>3595.6433599999987</v>
      </c>
      <c r="G18" s="232">
        <v>0</v>
      </c>
      <c r="H18" s="232">
        <v>0</v>
      </c>
      <c r="I18" s="232">
        <v>0</v>
      </c>
      <c r="J18" s="232">
        <v>0</v>
      </c>
      <c r="K18" s="52">
        <f>SUM(D18:J18)</f>
        <v>3595.6433599999987</v>
      </c>
      <c r="L18" s="932" t="s">
        <v>263</v>
      </c>
      <c r="M18" s="4">
        <f t="shared" si="1"/>
        <v>4</v>
      </c>
    </row>
    <row r="19" spans="1:14" x14ac:dyDescent="0.25">
      <c r="A19" s="4">
        <f t="shared" si="0"/>
        <v>5</v>
      </c>
      <c r="B19" s="947">
        <v>361</v>
      </c>
      <c r="C19" s="233" t="s">
        <v>322</v>
      </c>
      <c r="D19" s="232">
        <v>0</v>
      </c>
      <c r="E19" s="232">
        <v>0</v>
      </c>
      <c r="F19" s="232">
        <v>1576.7471199999993</v>
      </c>
      <c r="G19" s="232">
        <v>0</v>
      </c>
      <c r="H19" s="232">
        <v>0</v>
      </c>
      <c r="I19" s="232">
        <v>0</v>
      </c>
      <c r="J19" s="232">
        <v>0</v>
      </c>
      <c r="K19" s="52">
        <f>SUM(D19:J19)</f>
        <v>1576.7471199999993</v>
      </c>
      <c r="L19" s="932" t="s">
        <v>263</v>
      </c>
      <c r="M19" s="4">
        <f t="shared" si="1"/>
        <v>5</v>
      </c>
    </row>
    <row r="20" spans="1:14" x14ac:dyDescent="0.25">
      <c r="A20" s="4">
        <f t="shared" si="0"/>
        <v>6</v>
      </c>
      <c r="B20" s="932"/>
      <c r="C20" s="233"/>
      <c r="D20" s="233"/>
      <c r="E20" s="233"/>
      <c r="F20" s="233"/>
      <c r="G20" s="233"/>
      <c r="H20" s="233"/>
      <c r="I20" s="233"/>
      <c r="J20" s="233"/>
      <c r="K20" s="62"/>
      <c r="L20" s="932"/>
      <c r="M20" s="4">
        <f t="shared" si="1"/>
        <v>6</v>
      </c>
    </row>
    <row r="21" spans="1:14" s="1" customFormat="1" x14ac:dyDescent="0.25">
      <c r="A21" s="4">
        <f t="shared" si="0"/>
        <v>7</v>
      </c>
      <c r="B21" s="949" t="s">
        <v>323</v>
      </c>
      <c r="C21" s="950" t="s">
        <v>324</v>
      </c>
      <c r="D21" s="951">
        <f t="shared" ref="D21:I21" si="2">SUM(D15:D20)</f>
        <v>0</v>
      </c>
      <c r="E21" s="951">
        <f t="shared" si="2"/>
        <v>4.4929184919999994</v>
      </c>
      <c r="F21" s="951">
        <f t="shared" si="2"/>
        <v>5172.3904799999982</v>
      </c>
      <c r="G21" s="951">
        <f t="shared" si="2"/>
        <v>0</v>
      </c>
      <c r="H21" s="951">
        <f t="shared" si="2"/>
        <v>0</v>
      </c>
      <c r="I21" s="951">
        <f t="shared" si="2"/>
        <v>0</v>
      </c>
      <c r="J21" s="951">
        <f>SUM(J15:J20)</f>
        <v>0</v>
      </c>
      <c r="K21" s="235">
        <f>SUM(K15:K20)</f>
        <v>5176.8833984919984</v>
      </c>
      <c r="L21" s="952" t="s">
        <v>14</v>
      </c>
      <c r="M21" s="4">
        <f t="shared" si="1"/>
        <v>7</v>
      </c>
      <c r="N21" s="4"/>
    </row>
    <row r="22" spans="1:14" x14ac:dyDescent="0.25">
      <c r="A22" s="4">
        <f t="shared" si="0"/>
        <v>8</v>
      </c>
      <c r="B22" s="932"/>
      <c r="C22" s="233"/>
      <c r="D22" s="232"/>
      <c r="E22" s="232"/>
      <c r="F22" s="232"/>
      <c r="G22" s="232"/>
      <c r="H22" s="232"/>
      <c r="I22" s="232"/>
      <c r="J22" s="232"/>
      <c r="K22" s="62"/>
      <c r="L22" s="932"/>
      <c r="M22" s="4">
        <f t="shared" si="1"/>
        <v>8</v>
      </c>
    </row>
    <row r="23" spans="1:14" x14ac:dyDescent="0.25">
      <c r="A23" s="4">
        <f t="shared" si="0"/>
        <v>9</v>
      </c>
      <c r="B23" s="947">
        <v>350</v>
      </c>
      <c r="C23" s="233" t="s">
        <v>321</v>
      </c>
      <c r="D23" s="231">
        <v>262259.66140999959</v>
      </c>
      <c r="E23" s="231">
        <v>0</v>
      </c>
      <c r="F23" s="231">
        <v>0</v>
      </c>
      <c r="G23" s="231">
        <v>0</v>
      </c>
      <c r="H23" s="231">
        <v>0</v>
      </c>
      <c r="I23" s="231">
        <v>0</v>
      </c>
      <c r="J23" s="231">
        <v>-13536.055936752</v>
      </c>
      <c r="K23" s="58">
        <f t="shared" ref="K23:K34" si="3">SUM(D23:J23)</f>
        <v>248723.60547324759</v>
      </c>
      <c r="L23" s="932" t="s">
        <v>263</v>
      </c>
      <c r="M23" s="4">
        <f t="shared" si="1"/>
        <v>9</v>
      </c>
    </row>
    <row r="24" spans="1:14" x14ac:dyDescent="0.25">
      <c r="A24" s="4">
        <f t="shared" si="0"/>
        <v>10</v>
      </c>
      <c r="B24" s="947">
        <v>351.1</v>
      </c>
      <c r="C24" s="233" t="s">
        <v>1492</v>
      </c>
      <c r="D24" s="1305">
        <v>32.281490000000005</v>
      </c>
      <c r="E24" s="1150">
        <v>0</v>
      </c>
      <c r="F24" s="1150">
        <v>0</v>
      </c>
      <c r="G24" s="1150">
        <v>0</v>
      </c>
      <c r="H24" s="1150">
        <v>0</v>
      </c>
      <c r="I24" s="1150">
        <v>0</v>
      </c>
      <c r="J24" s="1150">
        <v>0</v>
      </c>
      <c r="K24" s="52">
        <f t="shared" si="3"/>
        <v>32.281490000000005</v>
      </c>
      <c r="L24" s="932" t="s">
        <v>263</v>
      </c>
      <c r="M24" s="4">
        <f t="shared" si="1"/>
        <v>10</v>
      </c>
    </row>
    <row r="25" spans="1:14" x14ac:dyDescent="0.25">
      <c r="A25" s="4">
        <f t="shared" si="0"/>
        <v>11</v>
      </c>
      <c r="B25" s="947">
        <v>351.2</v>
      </c>
      <c r="C25" s="233" t="s">
        <v>1493</v>
      </c>
      <c r="D25" s="1305">
        <v>4928.4976299999998</v>
      </c>
      <c r="E25" s="1150">
        <v>0</v>
      </c>
      <c r="F25" s="1150">
        <v>0</v>
      </c>
      <c r="G25" s="1150">
        <v>0</v>
      </c>
      <c r="H25" s="1150">
        <v>0</v>
      </c>
      <c r="I25" s="1150">
        <v>0</v>
      </c>
      <c r="J25" s="1150">
        <v>0</v>
      </c>
      <c r="K25" s="52">
        <f t="shared" si="3"/>
        <v>4928.4976299999998</v>
      </c>
      <c r="L25" s="932" t="s">
        <v>263</v>
      </c>
      <c r="M25" s="4">
        <f t="shared" si="1"/>
        <v>11</v>
      </c>
    </row>
    <row r="26" spans="1:14" x14ac:dyDescent="0.25">
      <c r="A26" s="4">
        <f t="shared" si="0"/>
        <v>12</v>
      </c>
      <c r="B26" s="947">
        <v>351.3</v>
      </c>
      <c r="C26" s="233" t="s">
        <v>1494</v>
      </c>
      <c r="D26" s="1305">
        <v>218105.60705000002</v>
      </c>
      <c r="E26" s="1150">
        <v>0</v>
      </c>
      <c r="F26" s="1150">
        <v>0</v>
      </c>
      <c r="G26" s="1150">
        <v>0</v>
      </c>
      <c r="H26" s="1150">
        <v>0</v>
      </c>
      <c r="I26" s="1150">
        <v>0</v>
      </c>
      <c r="J26" s="1150">
        <v>0</v>
      </c>
      <c r="K26" s="52">
        <f t="shared" si="3"/>
        <v>218105.60705000002</v>
      </c>
      <c r="L26" s="932" t="s">
        <v>263</v>
      </c>
      <c r="M26" s="4">
        <f t="shared" si="1"/>
        <v>12</v>
      </c>
    </row>
    <row r="27" spans="1:14" x14ac:dyDescent="0.25">
      <c r="A27" s="4">
        <f t="shared" si="0"/>
        <v>13</v>
      </c>
      <c r="B27" s="947">
        <v>352</v>
      </c>
      <c r="C27" s="233" t="s">
        <v>322</v>
      </c>
      <c r="D27" s="232">
        <v>1040602.11011</v>
      </c>
      <c r="E27" s="232">
        <v>0</v>
      </c>
      <c r="F27" s="1150">
        <v>0</v>
      </c>
      <c r="G27" s="232">
        <v>-1928.2778199999998</v>
      </c>
      <c r="H27" s="232">
        <v>0</v>
      </c>
      <c r="I27" s="232">
        <v>0</v>
      </c>
      <c r="J27" s="232">
        <v>-141473.12631499988</v>
      </c>
      <c r="K27" s="52">
        <f t="shared" si="3"/>
        <v>897200.70597500016</v>
      </c>
      <c r="L27" s="932" t="s">
        <v>263</v>
      </c>
      <c r="M27" s="4">
        <f t="shared" si="1"/>
        <v>13</v>
      </c>
      <c r="N27" s="357"/>
    </row>
    <row r="28" spans="1:14" x14ac:dyDescent="0.25">
      <c r="A28" s="4">
        <f t="shared" si="0"/>
        <v>14</v>
      </c>
      <c r="B28" s="947">
        <v>353</v>
      </c>
      <c r="C28" s="233" t="s">
        <v>325</v>
      </c>
      <c r="D28" s="232">
        <v>2591517.4743099939</v>
      </c>
      <c r="E28" s="232">
        <v>0</v>
      </c>
      <c r="F28" s="1150">
        <v>0</v>
      </c>
      <c r="G28" s="232">
        <v>-12009.827289999999</v>
      </c>
      <c r="H28" s="232">
        <v>-1420.3928799999999</v>
      </c>
      <c r="I28" s="232">
        <v>0</v>
      </c>
      <c r="J28" s="232">
        <v>-2418.0558700000024</v>
      </c>
      <c r="K28" s="52">
        <f t="shared" si="3"/>
        <v>2575669.198269994</v>
      </c>
      <c r="L28" s="932" t="s">
        <v>263</v>
      </c>
      <c r="M28" s="4">
        <f t="shared" si="1"/>
        <v>14</v>
      </c>
      <c r="N28" s="357"/>
    </row>
    <row r="29" spans="1:14" x14ac:dyDescent="0.25">
      <c r="A29" s="4">
        <f t="shared" si="0"/>
        <v>15</v>
      </c>
      <c r="B29" s="947">
        <v>354</v>
      </c>
      <c r="C29" s="233" t="s">
        <v>326</v>
      </c>
      <c r="D29" s="232">
        <v>927602.78933999792</v>
      </c>
      <c r="E29" s="232">
        <v>0</v>
      </c>
      <c r="F29" s="1150">
        <v>0</v>
      </c>
      <c r="G29" s="232">
        <v>0</v>
      </c>
      <c r="H29" s="232">
        <v>0</v>
      </c>
      <c r="I29" s="232">
        <v>0</v>
      </c>
      <c r="J29" s="232">
        <v>0</v>
      </c>
      <c r="K29" s="52">
        <f t="shared" si="3"/>
        <v>927602.78933999792</v>
      </c>
      <c r="L29" s="932" t="s">
        <v>263</v>
      </c>
      <c r="M29" s="4">
        <f t="shared" si="1"/>
        <v>15</v>
      </c>
      <c r="N29" s="357"/>
    </row>
    <row r="30" spans="1:14" x14ac:dyDescent="0.25">
      <c r="A30" s="4">
        <f t="shared" si="0"/>
        <v>16</v>
      </c>
      <c r="B30" s="947">
        <v>355</v>
      </c>
      <c r="C30" s="233" t="s">
        <v>327</v>
      </c>
      <c r="D30" s="232">
        <v>1399240.0623000001</v>
      </c>
      <c r="E30" s="232">
        <v>0</v>
      </c>
      <c r="F30" s="1150">
        <v>0</v>
      </c>
      <c r="G30" s="232">
        <v>0</v>
      </c>
      <c r="H30" s="232">
        <v>0</v>
      </c>
      <c r="I30" s="232">
        <v>0</v>
      </c>
      <c r="J30" s="232">
        <v>0</v>
      </c>
      <c r="K30" s="52">
        <f t="shared" si="3"/>
        <v>1399240.0623000001</v>
      </c>
      <c r="L30" s="932" t="s">
        <v>263</v>
      </c>
      <c r="M30" s="4">
        <f t="shared" si="1"/>
        <v>16</v>
      </c>
      <c r="N30" s="357"/>
    </row>
    <row r="31" spans="1:14" x14ac:dyDescent="0.25">
      <c r="A31" s="4">
        <f t="shared" si="0"/>
        <v>17</v>
      </c>
      <c r="B31" s="947">
        <v>356</v>
      </c>
      <c r="C31" s="233" t="s">
        <v>328</v>
      </c>
      <c r="D31" s="232">
        <v>1105807.3177400031</v>
      </c>
      <c r="E31" s="232">
        <v>0</v>
      </c>
      <c r="F31" s="1150">
        <v>0</v>
      </c>
      <c r="G31" s="232">
        <v>0</v>
      </c>
      <c r="H31" s="232">
        <v>0</v>
      </c>
      <c r="I31" s="232">
        <v>0</v>
      </c>
      <c r="J31" s="232">
        <v>0</v>
      </c>
      <c r="K31" s="52">
        <f t="shared" si="3"/>
        <v>1105807.3177400031</v>
      </c>
      <c r="L31" s="932" t="s">
        <v>263</v>
      </c>
      <c r="M31" s="4">
        <f t="shared" si="1"/>
        <v>17</v>
      </c>
      <c r="N31" s="357"/>
    </row>
    <row r="32" spans="1:14" x14ac:dyDescent="0.25">
      <c r="A32" s="4">
        <f t="shared" si="0"/>
        <v>18</v>
      </c>
      <c r="B32" s="947">
        <v>357</v>
      </c>
      <c r="C32" s="233" t="s">
        <v>329</v>
      </c>
      <c r="D32" s="232">
        <v>683235.73074000003</v>
      </c>
      <c r="E32" s="232">
        <v>0</v>
      </c>
      <c r="F32" s="1150">
        <v>0</v>
      </c>
      <c r="G32" s="232">
        <v>0</v>
      </c>
      <c r="H32" s="232">
        <v>0</v>
      </c>
      <c r="I32" s="232">
        <v>0</v>
      </c>
      <c r="J32" s="232">
        <v>0</v>
      </c>
      <c r="K32" s="52">
        <f t="shared" si="3"/>
        <v>683235.73074000003</v>
      </c>
      <c r="L32" s="932" t="s">
        <v>263</v>
      </c>
      <c r="M32" s="4">
        <f t="shared" si="1"/>
        <v>18</v>
      </c>
      <c r="N32" s="357"/>
    </row>
    <row r="33" spans="1:17" x14ac:dyDescent="0.25">
      <c r="A33" s="4">
        <f t="shared" si="0"/>
        <v>19</v>
      </c>
      <c r="B33" s="947">
        <v>358</v>
      </c>
      <c r="C33" s="233" t="s">
        <v>330</v>
      </c>
      <c r="D33" s="232">
        <v>719874.73596000031</v>
      </c>
      <c r="E33" s="232">
        <v>0</v>
      </c>
      <c r="F33" s="1150">
        <v>0</v>
      </c>
      <c r="G33" s="232">
        <v>-1726.37997</v>
      </c>
      <c r="H33" s="232">
        <v>0</v>
      </c>
      <c r="I33" s="232">
        <v>0</v>
      </c>
      <c r="J33" s="232">
        <v>0</v>
      </c>
      <c r="K33" s="52">
        <f t="shared" si="3"/>
        <v>718148.3559900003</v>
      </c>
      <c r="L33" s="932" t="s">
        <v>263</v>
      </c>
      <c r="M33" s="4">
        <f t="shared" si="1"/>
        <v>19</v>
      </c>
      <c r="N33" s="357"/>
    </row>
    <row r="34" spans="1:17" x14ac:dyDescent="0.25">
      <c r="A34" s="4">
        <f t="shared" si="0"/>
        <v>20</v>
      </c>
      <c r="B34" s="947">
        <v>359</v>
      </c>
      <c r="C34" s="233" t="s">
        <v>331</v>
      </c>
      <c r="D34" s="232">
        <v>435961.75700000004</v>
      </c>
      <c r="E34" s="232">
        <v>0</v>
      </c>
      <c r="F34" s="1150">
        <v>0</v>
      </c>
      <c r="G34" s="232">
        <v>0</v>
      </c>
      <c r="H34" s="232">
        <v>0</v>
      </c>
      <c r="I34" s="232">
        <v>0</v>
      </c>
      <c r="J34" s="232">
        <v>0</v>
      </c>
      <c r="K34" s="52">
        <f t="shared" si="3"/>
        <v>435961.75700000004</v>
      </c>
      <c r="L34" s="932" t="s">
        <v>263</v>
      </c>
      <c r="M34" s="4">
        <f t="shared" si="1"/>
        <v>20</v>
      </c>
      <c r="N34" s="357"/>
    </row>
    <row r="35" spans="1:17" x14ac:dyDescent="0.25">
      <c r="A35" s="4">
        <f t="shared" si="0"/>
        <v>21</v>
      </c>
      <c r="B35" s="947"/>
      <c r="C35" s="233"/>
      <c r="D35" s="232"/>
      <c r="F35" s="93"/>
      <c r="G35" s="93"/>
      <c r="H35" s="93"/>
      <c r="I35" s="93"/>
      <c r="J35" s="232"/>
      <c r="K35" s="53"/>
      <c r="L35" s="947"/>
      <c r="M35" s="4">
        <f t="shared" si="1"/>
        <v>21</v>
      </c>
      <c r="N35" s="357"/>
    </row>
    <row r="36" spans="1:17" x14ac:dyDescent="0.25">
      <c r="A36" s="4">
        <f t="shared" si="0"/>
        <v>22</v>
      </c>
      <c r="B36" s="955" t="s">
        <v>323</v>
      </c>
      <c r="C36" s="950" t="s">
        <v>294</v>
      </c>
      <c r="D36" s="951">
        <f>SUM(D23:D35)</f>
        <v>9389168.0250799954</v>
      </c>
      <c r="E36" s="951">
        <f t="shared" ref="E36:F36" si="4">SUM(E23:E35)</f>
        <v>0</v>
      </c>
      <c r="F36" s="951">
        <f t="shared" si="4"/>
        <v>0</v>
      </c>
      <c r="G36" s="951">
        <f>SUM(G23:G35)</f>
        <v>-15664.485079999999</v>
      </c>
      <c r="H36" s="951">
        <f>SUM(H23:H35)</f>
        <v>-1420.3928799999999</v>
      </c>
      <c r="I36" s="951">
        <f>SUM(I23:I35)</f>
        <v>0</v>
      </c>
      <c r="J36" s="951">
        <f>SUM(J23:J35)</f>
        <v>-157427.2381217519</v>
      </c>
      <c r="K36" s="235">
        <f>SUM(K23:K35)</f>
        <v>9214655.9089982416</v>
      </c>
      <c r="L36" s="956" t="s">
        <v>1503</v>
      </c>
      <c r="M36" s="4">
        <f t="shared" si="1"/>
        <v>22</v>
      </c>
      <c r="N36" s="357"/>
      <c r="O36"/>
      <c r="P36"/>
      <c r="Q36"/>
    </row>
    <row r="37" spans="1:17" x14ac:dyDescent="0.25">
      <c r="A37" s="4">
        <f t="shared" si="0"/>
        <v>23</v>
      </c>
      <c r="B37" s="296"/>
      <c r="D37" s="31"/>
      <c r="K37" s="6"/>
      <c r="L37" s="301"/>
      <c r="M37" s="4">
        <f t="shared" si="1"/>
        <v>23</v>
      </c>
      <c r="N37" s="357"/>
    </row>
    <row r="38" spans="1:17" x14ac:dyDescent="0.25">
      <c r="A38" s="4">
        <f t="shared" si="0"/>
        <v>24</v>
      </c>
      <c r="B38" s="302" t="s">
        <v>332</v>
      </c>
      <c r="C38" s="957"/>
      <c r="D38" s="575">
        <f>D36+D21</f>
        <v>9389168.0250799954</v>
      </c>
      <c r="E38" s="575">
        <f>E36+E21</f>
        <v>4.4929184919999994</v>
      </c>
      <c r="F38" s="575">
        <f t="shared" ref="F38" si="5">F36+F21</f>
        <v>5172.3904799999982</v>
      </c>
      <c r="G38" s="575">
        <f>G36+G21</f>
        <v>-15664.485079999999</v>
      </c>
      <c r="H38" s="575">
        <f>H36+H21</f>
        <v>-1420.3928799999999</v>
      </c>
      <c r="I38" s="575">
        <f>I36+I21</f>
        <v>0</v>
      </c>
      <c r="J38" s="575">
        <f>J36+J21</f>
        <v>-157427.2381217519</v>
      </c>
      <c r="K38" s="63">
        <f>K36+K21</f>
        <v>9219832.7923967335</v>
      </c>
      <c r="L38" s="952" t="s">
        <v>1504</v>
      </c>
      <c r="M38" s="4">
        <f t="shared" si="1"/>
        <v>24</v>
      </c>
      <c r="N38" s="357"/>
    </row>
    <row r="39" spans="1:17" x14ac:dyDescent="0.25">
      <c r="D39" s="31"/>
    </row>
    <row r="40" spans="1:17" x14ac:dyDescent="0.25">
      <c r="D40" s="31"/>
    </row>
    <row r="41" spans="1:17" x14ac:dyDescent="0.25">
      <c r="B41" s="32" t="s">
        <v>333</v>
      </c>
      <c r="D41" s="31"/>
      <c r="K41" s="6"/>
      <c r="L41" s="6"/>
    </row>
    <row r="42" spans="1:17" x14ac:dyDescent="0.25">
      <c r="D42" s="31"/>
    </row>
    <row r="43" spans="1:17" x14ac:dyDescent="0.25">
      <c r="D43" s="31"/>
    </row>
    <row r="44" spans="1:17" x14ac:dyDescent="0.25">
      <c r="D44" s="31"/>
    </row>
    <row r="45" spans="1:17" x14ac:dyDescent="0.25">
      <c r="D45" s="31"/>
    </row>
    <row r="46" spans="1:17" x14ac:dyDescent="0.25">
      <c r="D46" s="31"/>
    </row>
    <row r="47" spans="1:17" x14ac:dyDescent="0.25">
      <c r="D47" s="31"/>
    </row>
    <row r="48" spans="1:17" x14ac:dyDescent="0.25">
      <c r="D48" s="31"/>
    </row>
    <row r="49" spans="4:4" x14ac:dyDescent="0.25">
      <c r="D49" s="31"/>
    </row>
    <row r="50" spans="4:4" x14ac:dyDescent="0.25">
      <c r="D50" s="31"/>
    </row>
    <row r="51" spans="4:4" x14ac:dyDescent="0.25">
      <c r="D51" s="31"/>
    </row>
    <row r="52" spans="4:4" x14ac:dyDescent="0.25">
      <c r="D52" s="31"/>
    </row>
    <row r="53" spans="4:4" x14ac:dyDescent="0.25">
      <c r="D53" s="31"/>
    </row>
    <row r="54" spans="4:4" x14ac:dyDescent="0.25">
      <c r="D54" s="31"/>
    </row>
    <row r="55" spans="4:4" x14ac:dyDescent="0.25">
      <c r="D55" s="31"/>
    </row>
    <row r="56" spans="4:4" x14ac:dyDescent="0.25">
      <c r="D56" s="31"/>
    </row>
    <row r="57" spans="4:4" x14ac:dyDescent="0.25">
      <c r="D57" s="31"/>
    </row>
    <row r="58" spans="4:4" x14ac:dyDescent="0.25">
      <c r="D58" s="31"/>
    </row>
    <row r="59" spans="4:4" x14ac:dyDescent="0.25">
      <c r="D59" s="31"/>
    </row>
    <row r="60" spans="4:4" x14ac:dyDescent="0.25">
      <c r="D60" s="31"/>
    </row>
    <row r="61" spans="4:4" x14ac:dyDescent="0.25">
      <c r="D61" s="31"/>
    </row>
    <row r="62" spans="4:4" x14ac:dyDescent="0.25">
      <c r="D62" s="31"/>
    </row>
    <row r="63" spans="4:4" x14ac:dyDescent="0.25">
      <c r="D63" s="31"/>
    </row>
    <row r="64" spans="4:4" x14ac:dyDescent="0.25">
      <c r="D64" s="31"/>
    </row>
    <row r="65" spans="4:4" x14ac:dyDescent="0.25">
      <c r="D65" s="31"/>
    </row>
    <row r="66" spans="4:4" x14ac:dyDescent="0.25">
      <c r="D66" s="31"/>
    </row>
    <row r="67" spans="4:4" x14ac:dyDescent="0.25">
      <c r="D67" s="31"/>
    </row>
    <row r="68" spans="4:4" x14ac:dyDescent="0.25">
      <c r="D68" s="31"/>
    </row>
    <row r="69" spans="4:4" x14ac:dyDescent="0.25">
      <c r="D69" s="31"/>
    </row>
    <row r="70" spans="4:4" x14ac:dyDescent="0.25">
      <c r="D70" s="31"/>
    </row>
    <row r="71" spans="4:4" x14ac:dyDescent="0.25">
      <c r="D71" s="31"/>
    </row>
    <row r="72" spans="4:4" x14ac:dyDescent="0.25">
      <c r="D72" s="31"/>
    </row>
    <row r="73" spans="4:4" x14ac:dyDescent="0.25">
      <c r="D73" s="31"/>
    </row>
    <row r="74" spans="4:4" x14ac:dyDescent="0.25">
      <c r="D74" s="31"/>
    </row>
    <row r="75" spans="4:4" x14ac:dyDescent="0.25">
      <c r="D75" s="31"/>
    </row>
    <row r="76" spans="4:4" x14ac:dyDescent="0.25">
      <c r="D76" s="31"/>
    </row>
    <row r="77" spans="4:4" x14ac:dyDescent="0.25">
      <c r="D77" s="31"/>
    </row>
    <row r="78" spans="4:4" x14ac:dyDescent="0.25">
      <c r="D78" s="31"/>
    </row>
    <row r="79" spans="4:4" x14ac:dyDescent="0.25">
      <c r="D79" s="31"/>
    </row>
    <row r="80" spans="4:4" x14ac:dyDescent="0.25">
      <c r="D80" s="31"/>
    </row>
    <row r="81" spans="4:4" x14ac:dyDescent="0.25">
      <c r="D81" s="31"/>
    </row>
    <row r="82" spans="4:4" x14ac:dyDescent="0.25">
      <c r="D82" s="31"/>
    </row>
    <row r="83" spans="4:4" x14ac:dyDescent="0.25">
      <c r="D83" s="31"/>
    </row>
    <row r="84" spans="4:4" x14ac:dyDescent="0.25">
      <c r="D84" s="31"/>
    </row>
    <row r="85" spans="4:4" x14ac:dyDescent="0.25">
      <c r="D85" s="31"/>
    </row>
    <row r="86" spans="4:4" x14ac:dyDescent="0.25">
      <c r="D86" s="31"/>
    </row>
    <row r="87" spans="4:4" x14ac:dyDescent="0.25">
      <c r="D87" s="31"/>
    </row>
    <row r="88" spans="4:4" x14ac:dyDescent="0.25">
      <c r="D88" s="31"/>
    </row>
    <row r="89" spans="4:4" x14ac:dyDescent="0.25">
      <c r="D89" s="31"/>
    </row>
    <row r="90" spans="4:4" x14ac:dyDescent="0.25">
      <c r="D90" s="31"/>
    </row>
    <row r="91" spans="4:4" x14ac:dyDescent="0.25">
      <c r="D91" s="31"/>
    </row>
    <row r="92" spans="4:4" x14ac:dyDescent="0.25">
      <c r="D92" s="31"/>
    </row>
    <row r="93" spans="4:4" x14ac:dyDescent="0.25">
      <c r="D93" s="31"/>
    </row>
    <row r="94" spans="4:4" x14ac:dyDescent="0.25">
      <c r="D94" s="31"/>
    </row>
    <row r="95" spans="4:4" x14ac:dyDescent="0.25">
      <c r="D95" s="31"/>
    </row>
    <row r="96" spans="4:4" x14ac:dyDescent="0.25">
      <c r="D96" s="31"/>
    </row>
    <row r="97" spans="4:4" x14ac:dyDescent="0.25">
      <c r="D97" s="31"/>
    </row>
    <row r="98" spans="4:4" x14ac:dyDescent="0.25">
      <c r="D98" s="31"/>
    </row>
    <row r="99" spans="4:4" x14ac:dyDescent="0.25">
      <c r="D99" s="31"/>
    </row>
    <row r="100" spans="4:4" x14ac:dyDescent="0.25">
      <c r="D100" s="31"/>
    </row>
    <row r="101" spans="4:4" x14ac:dyDescent="0.25">
      <c r="D101" s="31"/>
    </row>
    <row r="102" spans="4:4" x14ac:dyDescent="0.25">
      <c r="D102" s="31"/>
    </row>
    <row r="103" spans="4:4" x14ac:dyDescent="0.25">
      <c r="D103" s="31"/>
    </row>
    <row r="104" spans="4:4" x14ac:dyDescent="0.25">
      <c r="D104" s="31"/>
    </row>
    <row r="105" spans="4:4" x14ac:dyDescent="0.25">
      <c r="D105" s="31"/>
    </row>
    <row r="106" spans="4:4" x14ac:dyDescent="0.25">
      <c r="D106" s="31"/>
    </row>
    <row r="107" spans="4:4" x14ac:dyDescent="0.25">
      <c r="D107" s="31"/>
    </row>
    <row r="108" spans="4:4" x14ac:dyDescent="0.25">
      <c r="D108" s="31"/>
    </row>
    <row r="109" spans="4:4" x14ac:dyDescent="0.25">
      <c r="D109" s="31"/>
    </row>
    <row r="110" spans="4:4" x14ac:dyDescent="0.25">
      <c r="D110" s="31"/>
    </row>
    <row r="111" spans="4:4" x14ac:dyDescent="0.25">
      <c r="D111" s="31"/>
    </row>
    <row r="112" spans="4:4" x14ac:dyDescent="0.25">
      <c r="D112" s="31"/>
    </row>
    <row r="113" spans="4:4" x14ac:dyDescent="0.25">
      <c r="D113" s="31"/>
    </row>
    <row r="114" spans="4:4" x14ac:dyDescent="0.25">
      <c r="D114" s="31"/>
    </row>
    <row r="115" spans="4:4" x14ac:dyDescent="0.25">
      <c r="D115" s="31"/>
    </row>
    <row r="116" spans="4:4" x14ac:dyDescent="0.25">
      <c r="D116" s="31"/>
    </row>
    <row r="117" spans="4:4" x14ac:dyDescent="0.25">
      <c r="D117" s="31"/>
    </row>
    <row r="118" spans="4:4" x14ac:dyDescent="0.25">
      <c r="D118" s="31"/>
    </row>
    <row r="119" spans="4:4" x14ac:dyDescent="0.25">
      <c r="D119" s="31"/>
    </row>
    <row r="120" spans="4:4" x14ac:dyDescent="0.25">
      <c r="D120" s="31"/>
    </row>
    <row r="121" spans="4:4" x14ac:dyDescent="0.25">
      <c r="D121" s="31"/>
    </row>
    <row r="122" spans="4:4" x14ac:dyDescent="0.25">
      <c r="D122" s="31"/>
    </row>
    <row r="123" spans="4:4" x14ac:dyDescent="0.25">
      <c r="D123" s="31"/>
    </row>
    <row r="124" spans="4:4" x14ac:dyDescent="0.25">
      <c r="D124" s="31"/>
    </row>
    <row r="125" spans="4:4" x14ac:dyDescent="0.25">
      <c r="D125" s="31"/>
    </row>
    <row r="126" spans="4:4" x14ac:dyDescent="0.25">
      <c r="D126" s="31"/>
    </row>
    <row r="127" spans="4:4" x14ac:dyDescent="0.25">
      <c r="D127" s="31"/>
    </row>
    <row r="128" spans="4:4" x14ac:dyDescent="0.25">
      <c r="D128" s="31"/>
    </row>
    <row r="129" spans="4:4" x14ac:dyDescent="0.25">
      <c r="D129" s="31"/>
    </row>
    <row r="130" spans="4:4" x14ac:dyDescent="0.25">
      <c r="D130" s="31"/>
    </row>
    <row r="131" spans="4:4" x14ac:dyDescent="0.25">
      <c r="D131" s="31"/>
    </row>
    <row r="132" spans="4:4" x14ac:dyDescent="0.25">
      <c r="D132" s="31"/>
    </row>
    <row r="133" spans="4:4" x14ac:dyDescent="0.25">
      <c r="D133" s="31"/>
    </row>
    <row r="134" spans="4:4" x14ac:dyDescent="0.25">
      <c r="D134" s="31"/>
    </row>
    <row r="135" spans="4:4" x14ac:dyDescent="0.25">
      <c r="D135" s="31"/>
    </row>
    <row r="136" spans="4:4" x14ac:dyDescent="0.25">
      <c r="D136" s="31"/>
    </row>
    <row r="137" spans="4:4" x14ac:dyDescent="0.25">
      <c r="D137" s="31"/>
    </row>
    <row r="138" spans="4:4" x14ac:dyDescent="0.25">
      <c r="D138" s="31"/>
    </row>
    <row r="139" spans="4:4" x14ac:dyDescent="0.25">
      <c r="D139" s="31"/>
    </row>
    <row r="140" spans="4:4" x14ac:dyDescent="0.25">
      <c r="D140" s="31"/>
    </row>
    <row r="141" spans="4:4" x14ac:dyDescent="0.25">
      <c r="D141" s="31"/>
    </row>
    <row r="142" spans="4:4" x14ac:dyDescent="0.25">
      <c r="D142" s="31"/>
    </row>
    <row r="143" spans="4:4" x14ac:dyDescent="0.25">
      <c r="D143" s="31"/>
    </row>
    <row r="144" spans="4:4" x14ac:dyDescent="0.25">
      <c r="D144" s="31"/>
    </row>
    <row r="145" spans="4:4" x14ac:dyDescent="0.25">
      <c r="D145" s="31"/>
    </row>
    <row r="146" spans="4:4" x14ac:dyDescent="0.25">
      <c r="D146" s="31"/>
    </row>
    <row r="147" spans="4:4" x14ac:dyDescent="0.25">
      <c r="D147" s="31"/>
    </row>
    <row r="148" spans="4:4" x14ac:dyDescent="0.25">
      <c r="D148" s="31"/>
    </row>
    <row r="149" spans="4:4" x14ac:dyDescent="0.25">
      <c r="D149" s="31"/>
    </row>
    <row r="150" spans="4:4" x14ac:dyDescent="0.25">
      <c r="D150" s="31"/>
    </row>
    <row r="151" spans="4:4" x14ac:dyDescent="0.25">
      <c r="D151" s="31"/>
    </row>
    <row r="152" spans="4:4" x14ac:dyDescent="0.25">
      <c r="D152" s="31"/>
    </row>
    <row r="153" spans="4:4" x14ac:dyDescent="0.25">
      <c r="D153" s="31"/>
    </row>
    <row r="154" spans="4:4" x14ac:dyDescent="0.25">
      <c r="D154" s="31"/>
    </row>
    <row r="155" spans="4:4" x14ac:dyDescent="0.25">
      <c r="D155" s="31"/>
    </row>
    <row r="156" spans="4:4" x14ac:dyDescent="0.25">
      <c r="D156" s="31"/>
    </row>
    <row r="157" spans="4:4" x14ac:dyDescent="0.25">
      <c r="D157" s="31"/>
    </row>
    <row r="158" spans="4:4" x14ac:dyDescent="0.25">
      <c r="D158" s="31"/>
    </row>
    <row r="159" spans="4:4" x14ac:dyDescent="0.25">
      <c r="D159" s="31"/>
    </row>
    <row r="160" spans="4:4" x14ac:dyDescent="0.25">
      <c r="D160" s="31"/>
    </row>
    <row r="161" spans="4:4" x14ac:dyDescent="0.25">
      <c r="D161" s="31"/>
    </row>
    <row r="162" spans="4:4" x14ac:dyDescent="0.25">
      <c r="D162" s="31"/>
    </row>
    <row r="163" spans="4:4" x14ac:dyDescent="0.25">
      <c r="D163" s="31"/>
    </row>
    <row r="164" spans="4:4" x14ac:dyDescent="0.25">
      <c r="D164" s="31"/>
    </row>
    <row r="165" spans="4:4" x14ac:dyDescent="0.25">
      <c r="D165" s="31"/>
    </row>
    <row r="166" spans="4:4" x14ac:dyDescent="0.25">
      <c r="D166" s="31"/>
    </row>
    <row r="167" spans="4:4" x14ac:dyDescent="0.25">
      <c r="D167" s="31"/>
    </row>
    <row r="168" spans="4:4" x14ac:dyDescent="0.25">
      <c r="D168" s="31"/>
    </row>
    <row r="169" spans="4:4" x14ac:dyDescent="0.25">
      <c r="D169" s="31"/>
    </row>
    <row r="170" spans="4:4" x14ac:dyDescent="0.25">
      <c r="D170" s="31"/>
    </row>
    <row r="171" spans="4:4" x14ac:dyDescent="0.25">
      <c r="D171" s="31"/>
    </row>
    <row r="172" spans="4:4" x14ac:dyDescent="0.25">
      <c r="D172" s="31"/>
    </row>
  </sheetData>
  <mergeCells count="5">
    <mergeCell ref="B2:L2"/>
    <mergeCell ref="B3:L3"/>
    <mergeCell ref="B4:L4"/>
    <mergeCell ref="B5:L5"/>
    <mergeCell ref="B6:L6"/>
  </mergeCells>
  <printOptions horizontalCentered="1"/>
  <pageMargins left="0.5" right="0.5" top="0.5" bottom="0.5" header="0.25" footer="0.25"/>
  <pageSetup scale="56" orientation="landscape" r:id="rId1"/>
  <headerFooter scaleWithDoc="0">
    <oddFooter>&amp;C&amp;"Times New Roman,Regular"&amp;10&amp;A</oddFooter>
  </headerFooter>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H39"/>
  <sheetViews>
    <sheetView zoomScale="80" zoomScaleNormal="80" workbookViewId="0">
      <selection activeCell="I29" sqref="I29"/>
    </sheetView>
  </sheetViews>
  <sheetFormatPr defaultColWidth="9.28515625" defaultRowHeight="15.75" x14ac:dyDescent="0.25"/>
  <cols>
    <col min="1" max="1" width="5.28515625" style="217" customWidth="1"/>
    <col min="2" max="2" width="35.28515625" style="1" customWidth="1"/>
    <col min="3" max="3" width="18.5703125" style="86" customWidth="1"/>
    <col min="4" max="4" width="25.28515625" style="86" customWidth="1"/>
    <col min="5" max="5" width="18.5703125" style="1" customWidth="1"/>
    <col min="6" max="6" width="62.5703125" style="1" customWidth="1"/>
    <col min="7" max="7" width="5.28515625" style="217" customWidth="1"/>
    <col min="8" max="8" width="24" style="1" customWidth="1"/>
    <col min="9" max="9" width="11" style="1" customWidth="1"/>
    <col min="10" max="10" width="7.28515625" style="1" customWidth="1"/>
    <col min="11" max="11" width="9.28515625" style="1" customWidth="1"/>
    <col min="12" max="12" width="14" style="1" customWidth="1"/>
    <col min="13" max="13" width="13.42578125" style="1" customWidth="1"/>
    <col min="14" max="16384" width="9.28515625" style="1"/>
  </cols>
  <sheetData>
    <row r="2" spans="1:8" x14ac:dyDescent="0.25">
      <c r="B2" s="1316" t="s">
        <v>0</v>
      </c>
      <c r="C2" s="1316"/>
      <c r="D2" s="1316"/>
      <c r="E2" s="1316"/>
      <c r="F2" s="1316"/>
    </row>
    <row r="3" spans="1:8" x14ac:dyDescent="0.25">
      <c r="B3" s="1316" t="s">
        <v>255</v>
      </c>
      <c r="C3" s="1316"/>
      <c r="D3" s="1316"/>
      <c r="E3" s="1316"/>
      <c r="F3" s="1316"/>
    </row>
    <row r="4" spans="1:8" x14ac:dyDescent="0.25">
      <c r="B4" s="1316" t="s">
        <v>256</v>
      </c>
      <c r="C4" s="1316"/>
      <c r="D4" s="1316"/>
      <c r="E4" s="1316"/>
      <c r="F4" s="1316"/>
    </row>
    <row r="5" spans="1:8" x14ac:dyDescent="0.25">
      <c r="B5" s="1316" t="str">
        <f>'AD-1'!B5</f>
        <v>BASE PERIOD / TRUE UP PERIOD - 12/31/2025 PER BOOK</v>
      </c>
      <c r="C5" s="1316"/>
      <c r="D5" s="1316"/>
      <c r="E5" s="1316"/>
      <c r="F5" s="1316"/>
    </row>
    <row r="6" spans="1:8" x14ac:dyDescent="0.25">
      <c r="B6" s="1312" t="s">
        <v>4</v>
      </c>
      <c r="C6" s="1312"/>
      <c r="D6" s="1312"/>
      <c r="E6" s="1312"/>
      <c r="F6" s="1312"/>
    </row>
    <row r="7" spans="1:8" x14ac:dyDescent="0.25">
      <c r="B7" s="266"/>
      <c r="C7" s="267"/>
      <c r="D7" s="267"/>
      <c r="E7" s="266"/>
      <c r="F7" s="266"/>
    </row>
    <row r="8" spans="1:8" x14ac:dyDescent="0.25">
      <c r="B8" s="1316" t="s">
        <v>334</v>
      </c>
      <c r="C8" s="1317"/>
      <c r="D8" s="1317"/>
      <c r="E8" s="1317"/>
      <c r="F8" s="1317"/>
    </row>
    <row r="10" spans="1:8" x14ac:dyDescent="0.25">
      <c r="B10" s="924"/>
      <c r="C10" s="268" t="s">
        <v>180</v>
      </c>
      <c r="D10" s="925"/>
      <c r="E10" s="268"/>
      <c r="F10" s="925"/>
    </row>
    <row r="11" spans="1:8" x14ac:dyDescent="0.25">
      <c r="B11" s="269"/>
      <c r="C11" s="273" t="s">
        <v>335</v>
      </c>
      <c r="D11" s="269"/>
      <c r="E11" s="273" t="s">
        <v>335</v>
      </c>
      <c r="F11" s="269"/>
    </row>
    <row r="12" spans="1:8" x14ac:dyDescent="0.25">
      <c r="A12" s="4"/>
      <c r="B12" s="272"/>
      <c r="C12" s="217" t="s">
        <v>295</v>
      </c>
      <c r="D12" s="269"/>
      <c r="E12" s="273" t="s">
        <v>336</v>
      </c>
      <c r="F12" s="269"/>
      <c r="G12" s="4"/>
    </row>
    <row r="13" spans="1:8" x14ac:dyDescent="0.25">
      <c r="A13" s="4" t="s">
        <v>5</v>
      </c>
      <c r="B13" s="272"/>
      <c r="C13" s="217" t="s">
        <v>291</v>
      </c>
      <c r="D13" s="269"/>
      <c r="E13" s="273" t="s">
        <v>291</v>
      </c>
      <c r="F13" s="269"/>
      <c r="G13" s="4" t="s">
        <v>5</v>
      </c>
    </row>
    <row r="14" spans="1:8" x14ac:dyDescent="0.25">
      <c r="A14" s="4" t="s">
        <v>6</v>
      </c>
      <c r="B14" s="274" t="s">
        <v>260</v>
      </c>
      <c r="C14" s="927" t="s">
        <v>261</v>
      </c>
      <c r="D14" s="274" t="s">
        <v>8</v>
      </c>
      <c r="E14" s="275" t="s">
        <v>337</v>
      </c>
      <c r="F14" s="274" t="s">
        <v>8</v>
      </c>
      <c r="G14" s="4" t="s">
        <v>6</v>
      </c>
    </row>
    <row r="15" spans="1:8" x14ac:dyDescent="0.25">
      <c r="A15" s="4">
        <v>1</v>
      </c>
      <c r="B15" s="928" t="str">
        <f>'AD-1'!B14</f>
        <v>Dec-24</v>
      </c>
      <c r="C15" s="58">
        <v>0</v>
      </c>
      <c r="D15" s="933" t="s">
        <v>263</v>
      </c>
      <c r="E15" s="64">
        <v>0</v>
      </c>
      <c r="F15" s="934" t="s">
        <v>263</v>
      </c>
      <c r="G15" s="4">
        <f>A15</f>
        <v>1</v>
      </c>
      <c r="H15" s="280"/>
    </row>
    <row r="16" spans="1:8" x14ac:dyDescent="0.25">
      <c r="A16" s="4">
        <f>A15+1</f>
        <v>2</v>
      </c>
      <c r="B16" s="928" t="str">
        <f>'AD-1'!B15</f>
        <v>Jan-25</v>
      </c>
      <c r="C16" s="52">
        <v>0</v>
      </c>
      <c r="D16" s="935"/>
      <c r="E16" s="65">
        <v>0</v>
      </c>
      <c r="F16" s="934"/>
      <c r="G16" s="4">
        <f>G15+1</f>
        <v>2</v>
      </c>
      <c r="H16" s="280"/>
    </row>
    <row r="17" spans="1:8" x14ac:dyDescent="0.25">
      <c r="A17" s="4">
        <f t="shared" ref="A17:A33" si="0">A16+1</f>
        <v>3</v>
      </c>
      <c r="B17" s="931" t="s">
        <v>265</v>
      </c>
      <c r="C17" s="52">
        <v>0</v>
      </c>
      <c r="D17" s="935"/>
      <c r="E17" s="65">
        <v>0</v>
      </c>
      <c r="F17" s="934"/>
      <c r="G17" s="4">
        <f t="shared" ref="G17:G33" si="1">G16+1</f>
        <v>3</v>
      </c>
      <c r="H17" s="280"/>
    </row>
    <row r="18" spans="1:8" x14ac:dyDescent="0.25">
      <c r="A18" s="4">
        <f t="shared" si="0"/>
        <v>4</v>
      </c>
      <c r="B18" s="931" t="s">
        <v>266</v>
      </c>
      <c r="C18" s="52">
        <v>0</v>
      </c>
      <c r="D18" s="935"/>
      <c r="E18" s="65">
        <v>0</v>
      </c>
      <c r="F18" s="934"/>
      <c r="G18" s="4">
        <f t="shared" si="1"/>
        <v>4</v>
      </c>
      <c r="H18" s="280"/>
    </row>
    <row r="19" spans="1:8" x14ac:dyDescent="0.25">
      <c r="A19" s="4">
        <f t="shared" si="0"/>
        <v>5</v>
      </c>
      <c r="B19" s="931" t="s">
        <v>267</v>
      </c>
      <c r="C19" s="52">
        <v>0</v>
      </c>
      <c r="D19" s="935"/>
      <c r="E19" s="65">
        <v>0</v>
      </c>
      <c r="F19" s="934"/>
      <c r="G19" s="4">
        <f t="shared" si="1"/>
        <v>5</v>
      </c>
      <c r="H19" s="280"/>
    </row>
    <row r="20" spans="1:8" x14ac:dyDescent="0.25">
      <c r="A20" s="4">
        <f t="shared" si="0"/>
        <v>6</v>
      </c>
      <c r="B20" s="931" t="s">
        <v>268</v>
      </c>
      <c r="C20" s="52">
        <v>0</v>
      </c>
      <c r="D20" s="935"/>
      <c r="E20" s="65">
        <v>0</v>
      </c>
      <c r="F20" s="934"/>
      <c r="G20" s="4">
        <f t="shared" si="1"/>
        <v>6</v>
      </c>
      <c r="H20" s="280"/>
    </row>
    <row r="21" spans="1:8" x14ac:dyDescent="0.25">
      <c r="A21" s="4">
        <f>A20+1</f>
        <v>7</v>
      </c>
      <c r="B21" s="931" t="s">
        <v>269</v>
      </c>
      <c r="C21" s="52">
        <v>0</v>
      </c>
      <c r="D21" s="935"/>
      <c r="E21" s="65">
        <v>0</v>
      </c>
      <c r="F21" s="934"/>
      <c r="G21" s="4">
        <f>G20+1</f>
        <v>7</v>
      </c>
      <c r="H21" s="280"/>
    </row>
    <row r="22" spans="1:8" x14ac:dyDescent="0.25">
      <c r="A22" s="4">
        <f t="shared" si="0"/>
        <v>8</v>
      </c>
      <c r="B22" s="931" t="s">
        <v>270</v>
      </c>
      <c r="C22" s="52">
        <v>0</v>
      </c>
      <c r="D22" s="935"/>
      <c r="E22" s="65">
        <v>0</v>
      </c>
      <c r="F22" s="934"/>
      <c r="G22" s="4">
        <f t="shared" si="1"/>
        <v>8</v>
      </c>
      <c r="H22" s="280"/>
    </row>
    <row r="23" spans="1:8" x14ac:dyDescent="0.25">
      <c r="A23" s="4">
        <f t="shared" si="0"/>
        <v>9</v>
      </c>
      <c r="B23" s="931" t="s">
        <v>271</v>
      </c>
      <c r="C23" s="52">
        <v>0</v>
      </c>
      <c r="D23" s="935"/>
      <c r="E23" s="65">
        <v>0</v>
      </c>
      <c r="F23" s="934"/>
      <c r="G23" s="4">
        <f t="shared" si="1"/>
        <v>9</v>
      </c>
      <c r="H23" s="280"/>
    </row>
    <row r="24" spans="1:8" x14ac:dyDescent="0.25">
      <c r="A24" s="4">
        <f t="shared" si="0"/>
        <v>10</v>
      </c>
      <c r="B24" s="931" t="s">
        <v>272</v>
      </c>
      <c r="C24" s="52">
        <v>0</v>
      </c>
      <c r="D24" s="935"/>
      <c r="E24" s="65">
        <v>0</v>
      </c>
      <c r="F24" s="934"/>
      <c r="G24" s="4">
        <f t="shared" si="1"/>
        <v>10</v>
      </c>
      <c r="H24" s="280"/>
    </row>
    <row r="25" spans="1:8" x14ac:dyDescent="0.25">
      <c r="A25" s="4">
        <f t="shared" si="0"/>
        <v>11</v>
      </c>
      <c r="B25" s="931" t="s">
        <v>273</v>
      </c>
      <c r="C25" s="52">
        <v>0</v>
      </c>
      <c r="D25" s="935"/>
      <c r="E25" s="65">
        <v>0</v>
      </c>
      <c r="F25" s="934"/>
      <c r="G25" s="4">
        <f t="shared" si="1"/>
        <v>11</v>
      </c>
      <c r="H25" s="280"/>
    </row>
    <row r="26" spans="1:8" x14ac:dyDescent="0.25">
      <c r="A26" s="4">
        <f t="shared" si="0"/>
        <v>12</v>
      </c>
      <c r="B26" s="931" t="s">
        <v>274</v>
      </c>
      <c r="C26" s="52">
        <v>0</v>
      </c>
      <c r="D26" s="935"/>
      <c r="E26" s="65">
        <v>0</v>
      </c>
      <c r="F26" s="934"/>
      <c r="G26" s="4">
        <f t="shared" si="1"/>
        <v>12</v>
      </c>
      <c r="H26" s="280"/>
    </row>
    <row r="27" spans="1:8" x14ac:dyDescent="0.25">
      <c r="A27" s="4">
        <f t="shared" si="0"/>
        <v>13</v>
      </c>
      <c r="B27" s="629" t="str">
        <f>'AD-1'!B26</f>
        <v>Dec-25</v>
      </c>
      <c r="C27" s="53">
        <v>0</v>
      </c>
      <c r="D27" s="68" t="s">
        <v>263</v>
      </c>
      <c r="E27" s="53">
        <v>0</v>
      </c>
      <c r="F27" s="589" t="s">
        <v>263</v>
      </c>
      <c r="G27" s="4">
        <f t="shared" si="1"/>
        <v>13</v>
      </c>
      <c r="H27" s="280"/>
    </row>
    <row r="28" spans="1:8" x14ac:dyDescent="0.25">
      <c r="A28" s="4">
        <f t="shared" si="0"/>
        <v>14</v>
      </c>
      <c r="B28" s="277"/>
      <c r="C28" s="59"/>
      <c r="D28" s="353"/>
      <c r="E28" s="60"/>
      <c r="F28" s="936"/>
      <c r="G28" s="4">
        <f t="shared" si="1"/>
        <v>14</v>
      </c>
      <c r="H28" s="280"/>
    </row>
    <row r="29" spans="1:8" x14ac:dyDescent="0.25">
      <c r="A29" s="4">
        <f t="shared" si="0"/>
        <v>15</v>
      </c>
      <c r="B29" s="277" t="s">
        <v>276</v>
      </c>
      <c r="C29" s="55">
        <f>SUM(C15:C27)</f>
        <v>0</v>
      </c>
      <c r="D29" s="933" t="s">
        <v>277</v>
      </c>
      <c r="E29" s="55">
        <f>SUM(E15:E27)</f>
        <v>0</v>
      </c>
      <c r="F29" s="934" t="s">
        <v>277</v>
      </c>
      <c r="G29" s="4">
        <f t="shared" si="1"/>
        <v>15</v>
      </c>
      <c r="H29" s="280"/>
    </row>
    <row r="30" spans="1:8" x14ac:dyDescent="0.25">
      <c r="A30" s="4">
        <f t="shared" si="0"/>
        <v>16</v>
      </c>
      <c r="B30" s="116"/>
      <c r="C30" s="61"/>
      <c r="D30" s="93"/>
      <c r="E30" s="61"/>
      <c r="F30" s="309"/>
      <c r="G30" s="4">
        <f t="shared" si="1"/>
        <v>16</v>
      </c>
      <c r="H30" s="280"/>
    </row>
    <row r="31" spans="1:8" x14ac:dyDescent="0.25">
      <c r="A31" s="4">
        <f t="shared" si="0"/>
        <v>17</v>
      </c>
      <c r="B31" s="277"/>
      <c r="C31" s="60"/>
      <c r="D31" s="232"/>
      <c r="E31" s="60"/>
      <c r="F31" s="959"/>
      <c r="G31" s="4">
        <f t="shared" si="1"/>
        <v>17</v>
      </c>
      <c r="H31" s="280"/>
    </row>
    <row r="32" spans="1:8" x14ac:dyDescent="0.25">
      <c r="A32" s="4">
        <f t="shared" si="0"/>
        <v>18</v>
      </c>
      <c r="B32" s="277" t="s">
        <v>278</v>
      </c>
      <c r="C32" s="55">
        <f>C29/13</f>
        <v>0</v>
      </c>
      <c r="D32" s="933" t="s">
        <v>279</v>
      </c>
      <c r="E32" s="55">
        <f>E29/13</f>
        <v>0</v>
      </c>
      <c r="F32" s="934" t="s">
        <v>279</v>
      </c>
      <c r="G32" s="4">
        <f t="shared" si="1"/>
        <v>18</v>
      </c>
      <c r="H32" s="280"/>
    </row>
    <row r="33" spans="1:8" x14ac:dyDescent="0.25">
      <c r="A33" s="4">
        <f t="shared" si="0"/>
        <v>19</v>
      </c>
      <c r="B33" s="116"/>
      <c r="C33" s="61"/>
      <c r="D33" s="93"/>
      <c r="E33" s="61"/>
      <c r="F33" s="309"/>
      <c r="G33" s="4">
        <f t="shared" si="1"/>
        <v>19</v>
      </c>
      <c r="H33" s="280"/>
    </row>
    <row r="34" spans="1:8" x14ac:dyDescent="0.25">
      <c r="B34" s="31"/>
      <c r="C34" s="6"/>
      <c r="D34" s="6"/>
      <c r="E34" s="6"/>
      <c r="F34" s="281"/>
      <c r="G34" s="581"/>
      <c r="H34" s="280"/>
    </row>
    <row r="35" spans="1:8" x14ac:dyDescent="0.25">
      <c r="B35" s="292"/>
      <c r="C35" s="281"/>
      <c r="D35" s="281"/>
      <c r="E35" s="281"/>
      <c r="F35" s="281"/>
      <c r="G35" s="579"/>
      <c r="H35" s="280"/>
    </row>
    <row r="36" spans="1:8" x14ac:dyDescent="0.25">
      <c r="B36" s="31"/>
      <c r="C36" s="281"/>
      <c r="D36" s="281"/>
      <c r="E36" s="281"/>
      <c r="F36" s="281"/>
      <c r="G36" s="579"/>
      <c r="H36" s="280"/>
    </row>
    <row r="37" spans="1:8" x14ac:dyDescent="0.25">
      <c r="B37" s="31"/>
      <c r="C37" s="281"/>
      <c r="D37" s="281"/>
      <c r="E37" s="281"/>
      <c r="F37" s="281"/>
      <c r="G37" s="579"/>
      <c r="H37" s="280"/>
    </row>
    <row r="38" spans="1:8" x14ac:dyDescent="0.25">
      <c r="B38" s="31"/>
      <c r="C38" s="281"/>
      <c r="D38" s="281"/>
      <c r="E38" s="281"/>
      <c r="F38" s="281"/>
      <c r="G38" s="579"/>
      <c r="H38" s="280"/>
    </row>
    <row r="39" spans="1:8" x14ac:dyDescent="0.25">
      <c r="C39" s="280"/>
      <c r="D39" s="280"/>
      <c r="E39" s="280"/>
      <c r="F39" s="280"/>
      <c r="G39" s="579"/>
      <c r="H39" s="280"/>
    </row>
  </sheetData>
  <mergeCells count="6">
    <mergeCell ref="B8:F8"/>
    <mergeCell ref="B2:F2"/>
    <mergeCell ref="B3:F3"/>
    <mergeCell ref="B4:F4"/>
    <mergeCell ref="B5:F5"/>
    <mergeCell ref="B6:F6"/>
  </mergeCells>
  <printOptions horizontalCentered="1"/>
  <pageMargins left="0.5" right="0.5" top="0.5" bottom="0.5" header="0.25" footer="0.25"/>
  <pageSetup scale="75" orientation="landscape" r:id="rId1"/>
  <headerFooter scaleWithDoc="0">
    <oddFooter>&amp;C&amp;"Times New Roman,Regular"&amp;10&amp;A</oddFooter>
  </headerFooter>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F41"/>
  <sheetViews>
    <sheetView zoomScale="80" zoomScaleNormal="80" workbookViewId="0">
      <selection activeCell="I22" sqref="I22"/>
    </sheetView>
  </sheetViews>
  <sheetFormatPr defaultColWidth="9.28515625" defaultRowHeight="15.75" x14ac:dyDescent="0.25"/>
  <cols>
    <col min="1" max="1" width="5.28515625" style="217" customWidth="1"/>
    <col min="2" max="2" width="35.28515625" style="1" customWidth="1"/>
    <col min="3" max="3" width="18.5703125" style="1" customWidth="1"/>
    <col min="4" max="4" width="62.5703125" style="1" customWidth="1"/>
    <col min="5" max="5" width="5.28515625" style="217" customWidth="1"/>
    <col min="6" max="6" width="11" style="1" customWidth="1"/>
    <col min="7" max="7" width="7.28515625" style="1" customWidth="1"/>
    <col min="8" max="8" width="9.28515625" style="1" customWidth="1"/>
    <col min="9" max="9" width="14" style="1" customWidth="1"/>
    <col min="10" max="10" width="13.42578125" style="1" customWidth="1"/>
    <col min="11" max="16384" width="9.28515625" style="1"/>
  </cols>
  <sheetData>
    <row r="2" spans="1:6" x14ac:dyDescent="0.25">
      <c r="B2" s="1316" t="s">
        <v>0</v>
      </c>
      <c r="C2" s="1316"/>
      <c r="D2" s="1316"/>
    </row>
    <row r="3" spans="1:6" x14ac:dyDescent="0.25">
      <c r="B3" s="1316" t="s">
        <v>255</v>
      </c>
      <c r="C3" s="1316"/>
      <c r="D3" s="1316"/>
    </row>
    <row r="4" spans="1:6" x14ac:dyDescent="0.25">
      <c r="B4" s="1316" t="s">
        <v>256</v>
      </c>
      <c r="C4" s="1316"/>
      <c r="D4" s="1316"/>
    </row>
    <row r="5" spans="1:6" x14ac:dyDescent="0.25">
      <c r="B5" s="1316" t="str">
        <f>'AD-1'!B5</f>
        <v>BASE PERIOD / TRUE UP PERIOD - 12/31/2025 PER BOOK</v>
      </c>
      <c r="C5" s="1316"/>
      <c r="D5" s="1316"/>
    </row>
    <row r="6" spans="1:6" x14ac:dyDescent="0.25">
      <c r="B6" s="1312" t="s">
        <v>4</v>
      </c>
      <c r="C6" s="1312"/>
      <c r="D6" s="1312"/>
    </row>
    <row r="7" spans="1:6" x14ac:dyDescent="0.25">
      <c r="B7" s="266"/>
      <c r="C7" s="266"/>
      <c r="D7" s="266"/>
    </row>
    <row r="8" spans="1:6" x14ac:dyDescent="0.25">
      <c r="B8" s="1316" t="s">
        <v>338</v>
      </c>
      <c r="C8" s="1316"/>
      <c r="D8" s="1316"/>
    </row>
    <row r="10" spans="1:6" x14ac:dyDescent="0.25">
      <c r="B10" s="310"/>
      <c r="C10" s="322" t="s">
        <v>339</v>
      </c>
      <c r="D10" s="311"/>
      <c r="E10" s="4"/>
    </row>
    <row r="11" spans="1:6" x14ac:dyDescent="0.25">
      <c r="A11" s="4" t="s">
        <v>5</v>
      </c>
      <c r="B11" s="297"/>
      <c r="C11" s="269" t="s">
        <v>340</v>
      </c>
      <c r="D11" s="312"/>
      <c r="E11" s="4" t="s">
        <v>5</v>
      </c>
    </row>
    <row r="12" spans="1:6" x14ac:dyDescent="0.25">
      <c r="A12" s="4" t="s">
        <v>6</v>
      </c>
      <c r="B12" s="305" t="s">
        <v>260</v>
      </c>
      <c r="C12" s="274" t="s">
        <v>341</v>
      </c>
      <c r="D12" s="275" t="s">
        <v>8</v>
      </c>
      <c r="E12" s="4" t="s">
        <v>6</v>
      </c>
    </row>
    <row r="13" spans="1:6" x14ac:dyDescent="0.25">
      <c r="A13" s="4"/>
      <c r="B13" s="313"/>
      <c r="C13" s="960"/>
      <c r="D13" s="314"/>
      <c r="E13" s="4"/>
    </row>
    <row r="14" spans="1:6" x14ac:dyDescent="0.25">
      <c r="A14" s="4">
        <v>1</v>
      </c>
      <c r="B14" s="928" t="str">
        <f>'AD-5'!B15</f>
        <v>Dec-24</v>
      </c>
      <c r="C14" s="231">
        <v>0</v>
      </c>
      <c r="D14" s="315" t="s">
        <v>264</v>
      </c>
      <c r="E14" s="4">
        <f>A14</f>
        <v>1</v>
      </c>
      <c r="F14" s="276"/>
    </row>
    <row r="15" spans="1:6" x14ac:dyDescent="0.25">
      <c r="A15" s="4">
        <f>A14+1</f>
        <v>2</v>
      </c>
      <c r="B15" s="931"/>
      <c r="C15" s="942"/>
      <c r="D15" s="317"/>
      <c r="E15" s="4">
        <f>E14+1</f>
        <v>2</v>
      </c>
    </row>
    <row r="16" spans="1:6" x14ac:dyDescent="0.25">
      <c r="A16" s="4">
        <f t="shared" ref="A16:A20" si="0">A15+1</f>
        <v>3</v>
      </c>
      <c r="B16" s="928" t="str">
        <f>'AD-5'!B17</f>
        <v>Dec-25</v>
      </c>
      <c r="C16" s="232">
        <v>0</v>
      </c>
      <c r="D16" s="315" t="s">
        <v>275</v>
      </c>
      <c r="E16" s="4">
        <f t="shared" ref="E16:E20" si="1">E15+1</f>
        <v>3</v>
      </c>
      <c r="F16" s="276"/>
    </row>
    <row r="17" spans="1:5" x14ac:dyDescent="0.25">
      <c r="A17" s="4">
        <f t="shared" si="0"/>
        <v>4</v>
      </c>
      <c r="B17" s="318"/>
      <c r="C17" s="66"/>
      <c r="D17" s="319"/>
      <c r="E17" s="4">
        <f t="shared" si="1"/>
        <v>4</v>
      </c>
    </row>
    <row r="18" spans="1:5" x14ac:dyDescent="0.25">
      <c r="A18" s="4">
        <f t="shared" si="0"/>
        <v>5</v>
      </c>
      <c r="B18" s="310"/>
      <c r="C18" s="960"/>
      <c r="D18" s="314"/>
      <c r="E18" s="4">
        <f t="shared" si="1"/>
        <v>5</v>
      </c>
    </row>
    <row r="19" spans="1:5" x14ac:dyDescent="0.25">
      <c r="A19" s="4">
        <f t="shared" si="0"/>
        <v>6</v>
      </c>
      <c r="B19" s="318" t="s">
        <v>292</v>
      </c>
      <c r="C19" s="961">
        <f>(C14+C16)/2</f>
        <v>0</v>
      </c>
      <c r="D19" s="568" t="s">
        <v>293</v>
      </c>
      <c r="E19" s="4">
        <f t="shared" si="1"/>
        <v>6</v>
      </c>
    </row>
    <row r="20" spans="1:5" x14ac:dyDescent="0.25">
      <c r="A20" s="4">
        <f t="shared" si="0"/>
        <v>7</v>
      </c>
      <c r="B20" s="327"/>
      <c r="C20" s="67"/>
      <c r="D20" s="61"/>
      <c r="E20" s="4">
        <f t="shared" si="1"/>
        <v>7</v>
      </c>
    </row>
    <row r="21" spans="1:5" x14ac:dyDescent="0.25">
      <c r="A21" s="4"/>
      <c r="B21" s="31"/>
      <c r="C21" s="29"/>
      <c r="D21" s="31"/>
      <c r="E21" s="4"/>
    </row>
    <row r="22" spans="1:5" x14ac:dyDescent="0.25">
      <c r="B22" s="31"/>
      <c r="C22" s="31"/>
      <c r="D22" s="31"/>
      <c r="E22" s="4"/>
    </row>
    <row r="23" spans="1:5" x14ac:dyDescent="0.25">
      <c r="B23" s="31"/>
      <c r="C23" s="31"/>
      <c r="D23" s="31"/>
    </row>
    <row r="24" spans="1:5" x14ac:dyDescent="0.25">
      <c r="B24" s="31"/>
      <c r="C24" s="31"/>
      <c r="D24" s="31"/>
    </row>
    <row r="25" spans="1:5" x14ac:dyDescent="0.25">
      <c r="B25" s="31"/>
      <c r="C25" s="31"/>
      <c r="D25" s="31"/>
    </row>
    <row r="26" spans="1:5" x14ac:dyDescent="0.25">
      <c r="B26" s="31"/>
      <c r="C26" s="31"/>
      <c r="D26" s="31"/>
    </row>
    <row r="27" spans="1:5" x14ac:dyDescent="0.25">
      <c r="B27" s="31"/>
      <c r="C27" s="31"/>
      <c r="D27" s="31"/>
    </row>
    <row r="28" spans="1:5" x14ac:dyDescent="0.25">
      <c r="B28" s="31"/>
      <c r="C28" s="31"/>
      <c r="D28" s="31"/>
    </row>
    <row r="29" spans="1:5" x14ac:dyDescent="0.25">
      <c r="B29" s="31"/>
      <c r="C29" s="31"/>
      <c r="D29" s="31"/>
    </row>
    <row r="30" spans="1:5" x14ac:dyDescent="0.25">
      <c r="B30" s="31"/>
      <c r="C30" s="31"/>
      <c r="D30" s="31"/>
    </row>
    <row r="31" spans="1:5" x14ac:dyDescent="0.25">
      <c r="B31" s="31"/>
      <c r="C31" s="31"/>
      <c r="D31" s="31"/>
    </row>
    <row r="32" spans="1:5" x14ac:dyDescent="0.25">
      <c r="B32" s="31"/>
      <c r="C32" s="31"/>
      <c r="D32" s="31"/>
    </row>
    <row r="33" spans="1:5" x14ac:dyDescent="0.25">
      <c r="B33" s="31"/>
      <c r="C33" s="31"/>
      <c r="D33" s="31"/>
    </row>
    <row r="34" spans="1:5" x14ac:dyDescent="0.25">
      <c r="B34" s="31"/>
      <c r="C34" s="31"/>
      <c r="D34" s="31"/>
    </row>
    <row r="35" spans="1:5" s="31" customFormat="1" x14ac:dyDescent="0.25">
      <c r="A35" s="4"/>
      <c r="E35" s="4"/>
    </row>
    <row r="36" spans="1:5" s="31" customFormat="1" x14ac:dyDescent="0.25">
      <c r="A36" s="4"/>
      <c r="E36" s="4"/>
    </row>
    <row r="37" spans="1:5" s="31" customFormat="1" x14ac:dyDescent="0.25">
      <c r="A37" s="4"/>
      <c r="E37" s="4"/>
    </row>
    <row r="38" spans="1:5" s="31" customFormat="1" x14ac:dyDescent="0.25">
      <c r="A38" s="4"/>
      <c r="E38" s="4"/>
    </row>
    <row r="39" spans="1:5" s="31" customFormat="1" x14ac:dyDescent="0.25">
      <c r="A39" s="4"/>
      <c r="E39" s="4"/>
    </row>
    <row r="40" spans="1:5" s="31" customFormat="1" x14ac:dyDescent="0.25">
      <c r="A40" s="4"/>
      <c r="E40" s="4"/>
    </row>
    <row r="41" spans="1:5" s="31" customFormat="1" x14ac:dyDescent="0.25">
      <c r="A41" s="4"/>
      <c r="E41" s="4"/>
    </row>
  </sheetData>
  <mergeCells count="6">
    <mergeCell ref="B8:D8"/>
    <mergeCell ref="B2:D2"/>
    <mergeCell ref="B3:D3"/>
    <mergeCell ref="B4:D4"/>
    <mergeCell ref="B5:D5"/>
    <mergeCell ref="B6:D6"/>
  </mergeCells>
  <printOptions horizontalCentered="1"/>
  <pageMargins left="0.5" right="0.5" top="0.5" bottom="0.5" header="0.25" footer="0.25"/>
  <pageSetup orientation="landscape" r:id="rId1"/>
  <headerFooter scaleWithDoc="0">
    <oddFooter>&amp;C&amp;"Times New Roman,Regular"&amp;10&amp;A</oddFooter>
  </headerFooter>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G41"/>
  <sheetViews>
    <sheetView zoomScale="80" zoomScaleNormal="80" workbookViewId="0">
      <selection activeCell="C10" sqref="C10"/>
    </sheetView>
  </sheetViews>
  <sheetFormatPr defaultColWidth="9.28515625" defaultRowHeight="15.75" x14ac:dyDescent="0.25"/>
  <cols>
    <col min="1" max="1" width="5.28515625" style="217" customWidth="1"/>
    <col min="2" max="2" width="35.28515625" style="1" customWidth="1"/>
    <col min="3" max="3" width="18.5703125" style="1" customWidth="1"/>
    <col min="4" max="4" width="5" style="1" customWidth="1"/>
    <col min="5" max="5" width="62.5703125" style="1" customWidth="1"/>
    <col min="6" max="6" width="5.28515625" style="217" customWidth="1"/>
    <col min="7" max="7" width="25.28515625" style="1" customWidth="1"/>
    <col min="8" max="8" width="7.28515625" style="1" customWidth="1"/>
    <col min="9" max="9" width="17.42578125" style="1" customWidth="1"/>
    <col min="10" max="10" width="14" style="1" customWidth="1"/>
    <col min="11" max="11" width="13.42578125" style="1" customWidth="1"/>
    <col min="12" max="16384" width="9.28515625" style="1"/>
  </cols>
  <sheetData>
    <row r="2" spans="1:7" x14ac:dyDescent="0.25">
      <c r="B2" s="1316" t="s">
        <v>0</v>
      </c>
      <c r="C2" s="1316"/>
      <c r="D2" s="1316"/>
      <c r="E2" s="1316"/>
    </row>
    <row r="3" spans="1:7" x14ac:dyDescent="0.25">
      <c r="B3" s="1316" t="s">
        <v>255</v>
      </c>
      <c r="C3" s="1316"/>
      <c r="D3" s="1316"/>
      <c r="E3" s="1316"/>
    </row>
    <row r="4" spans="1:7" x14ac:dyDescent="0.25">
      <c r="B4" s="1316" t="s">
        <v>256</v>
      </c>
      <c r="C4" s="1316"/>
      <c r="D4" s="1316"/>
      <c r="E4" s="1316"/>
    </row>
    <row r="5" spans="1:7" x14ac:dyDescent="0.25">
      <c r="B5" s="1316" t="str">
        <f>'AD-1'!B5</f>
        <v>BASE PERIOD / TRUE UP PERIOD - 12/31/2025 PER BOOK</v>
      </c>
      <c r="C5" s="1316"/>
      <c r="D5" s="1316"/>
      <c r="E5" s="1316"/>
    </row>
    <row r="6" spans="1:7" x14ac:dyDescent="0.25">
      <c r="B6" s="1312" t="s">
        <v>4</v>
      </c>
      <c r="C6" s="1312"/>
      <c r="D6" s="1312"/>
      <c r="E6" s="1312"/>
    </row>
    <row r="7" spans="1:7" x14ac:dyDescent="0.25">
      <c r="B7" s="266"/>
      <c r="C7" s="266"/>
      <c r="D7" s="266"/>
      <c r="E7" s="266"/>
    </row>
    <row r="8" spans="1:7" x14ac:dyDescent="0.25">
      <c r="B8" s="1316" t="s">
        <v>342</v>
      </c>
      <c r="C8" s="1316"/>
      <c r="D8" s="1316"/>
      <c r="E8" s="1316"/>
      <c r="F8" s="4"/>
    </row>
    <row r="9" spans="1:7" x14ac:dyDescent="0.25">
      <c r="A9" s="4"/>
      <c r="F9" s="4"/>
    </row>
    <row r="10" spans="1:7" x14ac:dyDescent="0.25">
      <c r="A10" s="4"/>
      <c r="B10" s="310"/>
      <c r="C10" s="321" t="s">
        <v>339</v>
      </c>
      <c r="D10" s="1292"/>
      <c r="E10" s="962"/>
      <c r="F10" s="4"/>
    </row>
    <row r="11" spans="1:7" x14ac:dyDescent="0.25">
      <c r="A11" s="4" t="s">
        <v>5</v>
      </c>
      <c r="B11" s="297"/>
      <c r="C11" s="297" t="s">
        <v>343</v>
      </c>
      <c r="D11" s="273"/>
      <c r="E11" s="926"/>
      <c r="F11" s="4" t="s">
        <v>5</v>
      </c>
    </row>
    <row r="12" spans="1:7" x14ac:dyDescent="0.25">
      <c r="A12" s="4" t="s">
        <v>6</v>
      </c>
      <c r="B12" s="305" t="s">
        <v>260</v>
      </c>
      <c r="C12" s="305" t="s">
        <v>341</v>
      </c>
      <c r="D12" s="275"/>
      <c r="E12" s="274" t="s">
        <v>8</v>
      </c>
      <c r="F12" s="4" t="s">
        <v>6</v>
      </c>
    </row>
    <row r="13" spans="1:7" x14ac:dyDescent="0.25">
      <c r="A13" s="4"/>
      <c r="B13" s="313"/>
      <c r="C13" s="1289"/>
      <c r="D13" s="1293"/>
      <c r="E13" s="963"/>
      <c r="F13" s="4"/>
    </row>
    <row r="14" spans="1:7" x14ac:dyDescent="0.25">
      <c r="A14" s="4">
        <v>1</v>
      </c>
      <c r="B14" s="928" t="str">
        <f>'AD-8'!B14</f>
        <v>Dec-24</v>
      </c>
      <c r="C14" s="119">
        <v>289481.7892100013</v>
      </c>
      <c r="D14" s="1086" t="s">
        <v>2062</v>
      </c>
      <c r="E14" s="938" t="s">
        <v>264</v>
      </c>
      <c r="F14" s="4">
        <f>A14</f>
        <v>1</v>
      </c>
      <c r="G14" s="276"/>
    </row>
    <row r="15" spans="1:7" x14ac:dyDescent="0.25">
      <c r="A15" s="4">
        <f>A14+1</f>
        <v>2</v>
      </c>
      <c r="B15" s="931"/>
      <c r="C15" s="1290"/>
      <c r="D15" s="317"/>
      <c r="E15" s="942"/>
      <c r="F15" s="4">
        <f>F14+1</f>
        <v>2</v>
      </c>
    </row>
    <row r="16" spans="1:7" x14ac:dyDescent="0.25">
      <c r="A16" s="4">
        <f t="shared" ref="A16:A20" si="0">A15+1</f>
        <v>3</v>
      </c>
      <c r="B16" s="928" t="str">
        <f>'AD-8'!B16</f>
        <v>Dec-25</v>
      </c>
      <c r="C16" s="124">
        <v>325936.31200000027</v>
      </c>
      <c r="D16" s="52"/>
      <c r="E16" s="938" t="s">
        <v>275</v>
      </c>
      <c r="F16" s="4">
        <f t="shared" ref="F16:F20" si="1">F15+1</f>
        <v>3</v>
      </c>
      <c r="G16" s="276"/>
    </row>
    <row r="17" spans="1:6" x14ac:dyDescent="0.25">
      <c r="A17" s="4">
        <f t="shared" si="0"/>
        <v>4</v>
      </c>
      <c r="B17" s="318"/>
      <c r="C17" s="1291"/>
      <c r="D17" s="319"/>
      <c r="E17" s="66"/>
      <c r="F17" s="4">
        <f t="shared" si="1"/>
        <v>4</v>
      </c>
    </row>
    <row r="18" spans="1:6" x14ac:dyDescent="0.25">
      <c r="A18" s="4">
        <f t="shared" si="0"/>
        <v>5</v>
      </c>
      <c r="B18" s="310"/>
      <c r="C18" s="1289"/>
      <c r="D18" s="1293"/>
      <c r="E18" s="963"/>
      <c r="F18" s="4">
        <f t="shared" si="1"/>
        <v>5</v>
      </c>
    </row>
    <row r="19" spans="1:6" x14ac:dyDescent="0.25">
      <c r="A19" s="4">
        <f t="shared" si="0"/>
        <v>6</v>
      </c>
      <c r="B19" s="318" t="s">
        <v>292</v>
      </c>
      <c r="C19" s="1082">
        <f>(C14+C16)/2</f>
        <v>307709.05060500081</v>
      </c>
      <c r="D19" s="55"/>
      <c r="E19" s="939" t="s">
        <v>293</v>
      </c>
      <c r="F19" s="4">
        <f t="shared" si="1"/>
        <v>6</v>
      </c>
    </row>
    <row r="20" spans="1:6" x14ac:dyDescent="0.25">
      <c r="A20" s="4">
        <f t="shared" si="0"/>
        <v>7</v>
      </c>
      <c r="B20" s="327"/>
      <c r="C20" s="1084"/>
      <c r="D20" s="56"/>
      <c r="E20" s="92"/>
      <c r="F20" s="4">
        <f t="shared" si="1"/>
        <v>7</v>
      </c>
    </row>
    <row r="21" spans="1:6" x14ac:dyDescent="0.25">
      <c r="A21" s="4"/>
      <c r="B21" s="31"/>
      <c r="C21" s="29"/>
      <c r="D21" s="29"/>
      <c r="E21" s="31"/>
      <c r="F21" s="4"/>
    </row>
    <row r="22" spans="1:6" x14ac:dyDescent="0.25">
      <c r="B22" s="31"/>
      <c r="C22" s="31"/>
      <c r="D22" s="31"/>
      <c r="E22" s="31"/>
    </row>
    <row r="23" spans="1:6" x14ac:dyDescent="0.25">
      <c r="A23" s="1086" t="s">
        <v>2062</v>
      </c>
      <c r="B23" s="1" t="str">
        <f>'Stmt AD'!B48</f>
        <v xml:space="preserve">Items in BOLD do not tie to the TO6 Cycle 2 included in the Offer of Settlement filing per ER25-270-002 and/or the 2025 FERC Form 1 filed on April 17, 2026 due to AFUDC adjustments made in </v>
      </c>
    </row>
    <row r="24" spans="1:6" x14ac:dyDescent="0.25">
      <c r="B24" s="1" t="str">
        <f>'Stmt AD'!B49</f>
        <v>response to settlement negotiations and other adjustments from the Transmission Project Review process.</v>
      </c>
    </row>
    <row r="25" spans="1:6" x14ac:dyDescent="0.25">
      <c r="B25" s="31"/>
      <c r="C25" s="31"/>
      <c r="D25" s="31"/>
      <c r="E25" s="31"/>
    </row>
    <row r="26" spans="1:6" x14ac:dyDescent="0.25">
      <c r="B26" s="31"/>
      <c r="C26" s="31"/>
      <c r="D26" s="31"/>
      <c r="E26" s="31"/>
    </row>
    <row r="27" spans="1:6" x14ac:dyDescent="0.25">
      <c r="B27" s="31"/>
      <c r="E27" s="31"/>
    </row>
    <row r="28" spans="1:6" x14ac:dyDescent="0.25">
      <c r="B28" s="31"/>
      <c r="C28" s="31"/>
      <c r="D28" s="31"/>
      <c r="E28" s="31"/>
    </row>
    <row r="29" spans="1:6" x14ac:dyDescent="0.25">
      <c r="B29" s="31"/>
      <c r="C29" s="31"/>
      <c r="D29" s="31"/>
      <c r="E29" s="31"/>
    </row>
    <row r="30" spans="1:6" x14ac:dyDescent="0.25">
      <c r="B30" s="31"/>
      <c r="C30" s="31"/>
      <c r="D30" s="31"/>
      <c r="E30" s="31"/>
    </row>
    <row r="31" spans="1:6" x14ac:dyDescent="0.25">
      <c r="B31" s="31"/>
      <c r="C31" s="31"/>
      <c r="D31" s="31"/>
      <c r="E31" s="31"/>
    </row>
    <row r="32" spans="1:6" x14ac:dyDescent="0.25">
      <c r="B32" s="31"/>
      <c r="C32" s="31"/>
      <c r="D32" s="31"/>
      <c r="E32" s="31"/>
    </row>
    <row r="33" spans="1:6" x14ac:dyDescent="0.25">
      <c r="B33" s="31"/>
      <c r="C33" s="31"/>
      <c r="D33" s="31"/>
      <c r="E33" s="31"/>
    </row>
    <row r="34" spans="1:6" x14ac:dyDescent="0.25">
      <c r="B34" s="31"/>
      <c r="C34" s="31"/>
      <c r="D34" s="31"/>
      <c r="E34" s="31"/>
    </row>
    <row r="35" spans="1:6" s="31" customFormat="1" x14ac:dyDescent="0.25">
      <c r="A35" s="4"/>
      <c r="F35" s="4"/>
    </row>
    <row r="36" spans="1:6" s="31" customFormat="1" x14ac:dyDescent="0.25">
      <c r="A36" s="4"/>
      <c r="F36" s="4"/>
    </row>
    <row r="37" spans="1:6" s="31" customFormat="1" x14ac:dyDescent="0.25">
      <c r="A37" s="4"/>
      <c r="F37" s="4"/>
    </row>
    <row r="38" spans="1:6" s="31" customFormat="1" x14ac:dyDescent="0.25">
      <c r="A38" s="4"/>
      <c r="F38" s="4"/>
    </row>
    <row r="39" spans="1:6" s="31" customFormat="1" x14ac:dyDescent="0.25">
      <c r="A39" s="4"/>
      <c r="F39" s="4"/>
    </row>
    <row r="40" spans="1:6" s="31" customFormat="1" x14ac:dyDescent="0.25">
      <c r="A40" s="4"/>
      <c r="F40" s="4"/>
    </row>
    <row r="41" spans="1:6" s="31" customFormat="1" x14ac:dyDescent="0.25">
      <c r="A41" s="4"/>
      <c r="F41" s="4"/>
    </row>
  </sheetData>
  <mergeCells count="6">
    <mergeCell ref="B8:E8"/>
    <mergeCell ref="B2:E2"/>
    <mergeCell ref="B3:E3"/>
    <mergeCell ref="B4:E4"/>
    <mergeCell ref="B5:E5"/>
    <mergeCell ref="B6:E6"/>
  </mergeCells>
  <printOptions horizontalCentered="1"/>
  <pageMargins left="0.5" right="0.5" top="0.5" bottom="0.5" header="0.25" footer="0.25"/>
  <pageSetup scale="97" orientation="landscape" r:id="rId1"/>
  <headerFooter scaleWithDoc="0">
    <oddFooter>&amp;C&amp;"Times New Roman,Regular"&amp;10&amp;A</oddFooter>
  </headerFooter>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G26"/>
  <sheetViews>
    <sheetView zoomScale="80" zoomScaleNormal="80" workbookViewId="0">
      <selection activeCell="D18" sqref="D18"/>
    </sheetView>
  </sheetViews>
  <sheetFormatPr defaultColWidth="9.28515625" defaultRowHeight="15.75" x14ac:dyDescent="0.25"/>
  <cols>
    <col min="1" max="1" width="5.28515625" style="217" customWidth="1"/>
    <col min="2" max="2" width="8.5703125" style="1" customWidth="1"/>
    <col min="3" max="3" width="41.28515625" style="1" customWidth="1"/>
    <col min="4" max="4" width="18.5703125" style="1" customWidth="1"/>
    <col min="5" max="5" width="62.5703125" style="1" customWidth="1"/>
    <col min="6" max="6" width="5.28515625" style="217" customWidth="1"/>
    <col min="7" max="7" width="24" style="1" customWidth="1"/>
    <col min="8" max="8" width="11" style="1" customWidth="1"/>
    <col min="9" max="9" width="7.28515625" style="1" customWidth="1"/>
    <col min="10" max="10" width="9.28515625" style="1" customWidth="1"/>
    <col min="11" max="11" width="14" style="1" customWidth="1"/>
    <col min="12" max="12" width="13.42578125" style="1" customWidth="1"/>
    <col min="13" max="16384" width="9.28515625" style="1"/>
  </cols>
  <sheetData>
    <row r="2" spans="1:7" x14ac:dyDescent="0.25">
      <c r="B2" s="1316" t="s">
        <v>0</v>
      </c>
      <c r="C2" s="1316"/>
      <c r="D2" s="1316"/>
      <c r="E2" s="1316"/>
      <c r="G2"/>
    </row>
    <row r="3" spans="1:7" x14ac:dyDescent="0.25">
      <c r="B3" s="1316" t="s">
        <v>255</v>
      </c>
      <c r="C3" s="1316"/>
      <c r="D3" s="1316"/>
      <c r="E3" s="1316"/>
    </row>
    <row r="4" spans="1:7" x14ac:dyDescent="0.25">
      <c r="B4" s="1316" t="s">
        <v>256</v>
      </c>
      <c r="C4" s="1316"/>
      <c r="D4" s="1316"/>
      <c r="E4" s="1316"/>
    </row>
    <row r="5" spans="1:7" x14ac:dyDescent="0.25">
      <c r="B5" s="1316" t="str">
        <f>'AD-1'!B5</f>
        <v>BASE PERIOD / TRUE UP PERIOD - 12/31/2025 PER BOOK</v>
      </c>
      <c r="C5" s="1316"/>
      <c r="D5" s="1316"/>
      <c r="E5" s="1316"/>
    </row>
    <row r="6" spans="1:7" x14ac:dyDescent="0.25">
      <c r="B6" s="1312" t="s">
        <v>4</v>
      </c>
      <c r="C6" s="1312"/>
      <c r="D6" s="1312"/>
      <c r="E6" s="1312"/>
    </row>
    <row r="7" spans="1:7" x14ac:dyDescent="0.25">
      <c r="B7" s="266"/>
      <c r="C7" s="266"/>
      <c r="D7" s="266"/>
      <c r="E7" s="266"/>
    </row>
    <row r="8" spans="1:7" x14ac:dyDescent="0.25">
      <c r="B8" s="1316" t="s">
        <v>344</v>
      </c>
      <c r="C8" s="1316"/>
      <c r="D8" s="1316"/>
      <c r="E8" s="1316"/>
      <c r="F8" s="4"/>
    </row>
    <row r="9" spans="1:7" x14ac:dyDescent="0.25">
      <c r="A9" s="4"/>
      <c r="F9" s="4"/>
    </row>
    <row r="10" spans="1:7" x14ac:dyDescent="0.25">
      <c r="A10" s="4" t="s">
        <v>5</v>
      </c>
      <c r="B10" s="320"/>
      <c r="C10" s="320"/>
      <c r="D10" s="321"/>
      <c r="E10" s="322"/>
      <c r="F10" s="4" t="s">
        <v>5</v>
      </c>
    </row>
    <row r="11" spans="1:7" x14ac:dyDescent="0.25">
      <c r="A11" s="4" t="s">
        <v>6</v>
      </c>
      <c r="B11" s="305" t="s">
        <v>260</v>
      </c>
      <c r="C11" s="305" t="s">
        <v>311</v>
      </c>
      <c r="D11" s="305" t="s">
        <v>7</v>
      </c>
      <c r="E11" s="274" t="s">
        <v>8</v>
      </c>
      <c r="F11" s="4" t="s">
        <v>6</v>
      </c>
    </row>
    <row r="12" spans="1:7" x14ac:dyDescent="0.25">
      <c r="A12" s="4"/>
      <c r="B12" s="323"/>
      <c r="C12" s="323"/>
      <c r="D12" s="932"/>
      <c r="E12" s="324"/>
      <c r="F12" s="4"/>
    </row>
    <row r="13" spans="1:7" x14ac:dyDescent="0.25">
      <c r="A13" s="4">
        <v>1</v>
      </c>
      <c r="B13" s="628" t="str">
        <f>'AD-9'!B14</f>
        <v>Dec-24</v>
      </c>
      <c r="C13" s="325" t="s">
        <v>345</v>
      </c>
      <c r="D13" s="569">
        <v>2651696.2480000001</v>
      </c>
      <c r="E13" s="569" t="s">
        <v>346</v>
      </c>
      <c r="F13" s="4">
        <f>A13</f>
        <v>1</v>
      </c>
    </row>
    <row r="14" spans="1:7" x14ac:dyDescent="0.25">
      <c r="A14" s="4">
        <f>A13+1</f>
        <v>2</v>
      </c>
      <c r="B14" s="325"/>
      <c r="C14" s="325" t="s">
        <v>347</v>
      </c>
      <c r="D14" s="246">
        <v>0.73870000000000002</v>
      </c>
      <c r="E14" s="964" t="s">
        <v>348</v>
      </c>
      <c r="F14" s="4">
        <f>F13+1</f>
        <v>2</v>
      </c>
    </row>
    <row r="15" spans="1:7" x14ac:dyDescent="0.25">
      <c r="A15" s="4">
        <f t="shared" ref="A15:A22" si="0">A14+1</f>
        <v>3</v>
      </c>
      <c r="B15" s="325"/>
      <c r="C15" s="325" t="s">
        <v>349</v>
      </c>
      <c r="D15" s="965">
        <f>D13*D14</f>
        <v>1958808.0183976002</v>
      </c>
      <c r="E15" s="938" t="s">
        <v>350</v>
      </c>
      <c r="F15" s="4">
        <f t="shared" ref="F15:F23" si="1">F14+1</f>
        <v>3</v>
      </c>
    </row>
    <row r="16" spans="1:7" x14ac:dyDescent="0.25">
      <c r="A16" s="4">
        <f t="shared" si="0"/>
        <v>4</v>
      </c>
      <c r="B16" s="325"/>
      <c r="C16" s="325"/>
      <c r="D16" s="933"/>
      <c r="E16" s="938"/>
      <c r="F16" s="4">
        <f t="shared" si="1"/>
        <v>4</v>
      </c>
    </row>
    <row r="17" spans="1:7" x14ac:dyDescent="0.25">
      <c r="A17" s="4">
        <f t="shared" si="0"/>
        <v>5</v>
      </c>
      <c r="B17" s="628" t="str">
        <f>'AD-9'!B16</f>
        <v>Dec-25</v>
      </c>
      <c r="C17" s="325" t="s">
        <v>345</v>
      </c>
      <c r="D17" s="569">
        <v>2826168.8289999999</v>
      </c>
      <c r="E17" s="569" t="s">
        <v>351</v>
      </c>
      <c r="F17" s="4">
        <f t="shared" si="1"/>
        <v>5</v>
      </c>
    </row>
    <row r="18" spans="1:7" x14ac:dyDescent="0.25">
      <c r="A18" s="4">
        <f t="shared" si="0"/>
        <v>6</v>
      </c>
      <c r="B18" s="325"/>
      <c r="C18" s="325" t="s">
        <v>347</v>
      </c>
      <c r="D18" s="246">
        <v>0.70169999999999999</v>
      </c>
      <c r="E18" s="964" t="s">
        <v>348</v>
      </c>
      <c r="F18" s="4">
        <f t="shared" si="1"/>
        <v>6</v>
      </c>
      <c r="G18" s="254"/>
    </row>
    <row r="19" spans="1:7" x14ac:dyDescent="0.25">
      <c r="A19" s="4">
        <f t="shared" si="0"/>
        <v>7</v>
      </c>
      <c r="B19" s="325"/>
      <c r="C19" s="325" t="s">
        <v>349</v>
      </c>
      <c r="D19" s="569">
        <f>D17*D18</f>
        <v>1983122.6673092998</v>
      </c>
      <c r="E19" s="939" t="s">
        <v>352</v>
      </c>
      <c r="F19" s="4">
        <f t="shared" si="1"/>
        <v>7</v>
      </c>
    </row>
    <row r="20" spans="1:7" x14ac:dyDescent="0.25">
      <c r="A20" s="4">
        <f t="shared" si="0"/>
        <v>8</v>
      </c>
      <c r="B20" s="326"/>
      <c r="C20" s="305"/>
      <c r="D20" s="68"/>
      <c r="E20" s="290"/>
      <c r="F20" s="4">
        <f t="shared" si="1"/>
        <v>8</v>
      </c>
    </row>
    <row r="21" spans="1:7" x14ac:dyDescent="0.25">
      <c r="A21" s="4">
        <f t="shared" si="0"/>
        <v>9</v>
      </c>
      <c r="B21" s="310"/>
      <c r="D21" s="353"/>
      <c r="E21" s="277"/>
      <c r="F21" s="4">
        <f t="shared" si="1"/>
        <v>9</v>
      </c>
    </row>
    <row r="22" spans="1:7" x14ac:dyDescent="0.25">
      <c r="A22" s="4">
        <f t="shared" si="0"/>
        <v>10</v>
      </c>
      <c r="B22" s="318" t="s">
        <v>292</v>
      </c>
      <c r="D22" s="961">
        <f>(D15+D19)/2</f>
        <v>1970965.34285345</v>
      </c>
      <c r="E22" s="932" t="s">
        <v>353</v>
      </c>
      <c r="F22" s="4">
        <f t="shared" si="1"/>
        <v>10</v>
      </c>
    </row>
    <row r="23" spans="1:7" x14ac:dyDescent="0.25">
      <c r="A23" s="4">
        <f t="shared" ref="A23" si="2">A22+1</f>
        <v>11</v>
      </c>
      <c r="B23" s="327"/>
      <c r="C23" s="966"/>
      <c r="D23" s="67"/>
      <c r="E23" s="66"/>
      <c r="F23" s="4">
        <f t="shared" si="1"/>
        <v>11</v>
      </c>
    </row>
    <row r="24" spans="1:7" x14ac:dyDescent="0.25">
      <c r="A24" s="4"/>
      <c r="B24" s="31"/>
      <c r="C24" s="31"/>
      <c r="D24" s="31"/>
      <c r="E24" s="31"/>
      <c r="F24" s="4"/>
    </row>
    <row r="25" spans="1:7" x14ac:dyDescent="0.25">
      <c r="A25" s="4"/>
      <c r="B25" s="31"/>
      <c r="C25" s="31"/>
      <c r="D25" s="31"/>
      <c r="E25" s="31"/>
    </row>
    <row r="26" spans="1:7" x14ac:dyDescent="0.25">
      <c r="A26" s="4"/>
      <c r="B26" s="31"/>
      <c r="C26" s="31"/>
      <c r="D26" s="31"/>
      <c r="E26" s="31"/>
    </row>
  </sheetData>
  <mergeCells count="6">
    <mergeCell ref="B8:E8"/>
    <mergeCell ref="B2:E2"/>
    <mergeCell ref="B3:E3"/>
    <mergeCell ref="B4:E4"/>
    <mergeCell ref="B5:E5"/>
    <mergeCell ref="B6:E6"/>
  </mergeCells>
  <printOptions horizontalCentered="1"/>
  <pageMargins left="0.5" right="0.5" top="0.5" bottom="0.5" header="0.25" footer="0.25"/>
  <pageSetup scale="90" orientation="landscape" r:id="rId1"/>
  <headerFooter scaleWithDoc="0">
    <oddFooter>&amp;C&amp;"Times New Roman,Regular"&amp;10&amp;A</oddFooter>
  </headerFooter>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41"/>
  <sheetViews>
    <sheetView zoomScale="80" zoomScaleNormal="80" workbookViewId="0">
      <selection activeCell="O24" sqref="O24"/>
    </sheetView>
  </sheetViews>
  <sheetFormatPr defaultColWidth="8.7109375" defaultRowHeight="15.75" x14ac:dyDescent="0.25"/>
  <cols>
    <col min="1" max="1" width="5.28515625" style="4" bestFit="1" customWidth="1"/>
    <col min="2" max="2" width="67.5703125" style="31" customWidth="1"/>
    <col min="3" max="3" width="25.5703125" style="4" bestFit="1" customWidth="1"/>
    <col min="4" max="4" width="1.5703125" style="31" customWidth="1"/>
    <col min="5" max="5" width="16.7109375" style="31" customWidth="1"/>
    <col min="6" max="6" width="1.5703125" style="31" customWidth="1"/>
    <col min="7" max="7" width="16.7109375" style="31" customWidth="1"/>
    <col min="8" max="8" width="1.5703125" style="31" customWidth="1"/>
    <col min="9" max="9" width="16.7109375" style="31" customWidth="1"/>
    <col min="10" max="10" width="1.5703125" style="31" customWidth="1"/>
    <col min="11" max="11" width="34.5703125" style="31" customWidth="1"/>
    <col min="12" max="12" width="5.28515625" style="31" bestFit="1" customWidth="1"/>
    <col min="13" max="13" width="8.7109375" style="31"/>
    <col min="14" max="14" width="33.42578125" style="31" customWidth="1"/>
    <col min="15" max="16384" width="8.7109375" style="31"/>
  </cols>
  <sheetData>
    <row r="1" spans="1:14" x14ac:dyDescent="0.25">
      <c r="H1" s="4"/>
      <c r="I1" s="4"/>
      <c r="J1" s="4"/>
      <c r="K1" s="4"/>
      <c r="L1" s="4"/>
    </row>
    <row r="2" spans="1:14" x14ac:dyDescent="0.25">
      <c r="B2" s="1316" t="s">
        <v>0</v>
      </c>
      <c r="C2" s="1316"/>
      <c r="D2" s="1316"/>
      <c r="E2" s="1316"/>
      <c r="F2" s="1316"/>
      <c r="G2" s="1316"/>
      <c r="H2" s="1316"/>
      <c r="I2" s="1316"/>
      <c r="J2" s="1316"/>
      <c r="K2" s="1316"/>
      <c r="L2" s="4"/>
    </row>
    <row r="3" spans="1:14" x14ac:dyDescent="0.25">
      <c r="B3" s="1316" t="s">
        <v>354</v>
      </c>
      <c r="C3" s="1316"/>
      <c r="D3" s="1316"/>
      <c r="E3" s="1316"/>
      <c r="F3" s="1316"/>
      <c r="G3" s="1316"/>
      <c r="H3" s="1316"/>
      <c r="I3" s="1316"/>
      <c r="J3" s="1316"/>
      <c r="K3" s="1316"/>
      <c r="L3" s="4"/>
    </row>
    <row r="4" spans="1:14" x14ac:dyDescent="0.25">
      <c r="B4" s="1316" t="s">
        <v>355</v>
      </c>
      <c r="C4" s="1316"/>
      <c r="D4" s="1316"/>
      <c r="E4" s="1316"/>
      <c r="F4" s="1316"/>
      <c r="G4" s="1316"/>
      <c r="H4" s="1316"/>
      <c r="I4" s="1316"/>
      <c r="J4" s="1316"/>
      <c r="K4" s="1316"/>
      <c r="L4" s="4"/>
    </row>
    <row r="5" spans="1:14" x14ac:dyDescent="0.25">
      <c r="B5" s="1318" t="str">
        <f>'Stmt AD'!B5</f>
        <v>Base Period &amp; True-Up Period 12 - Months Ending December 31, 2025</v>
      </c>
      <c r="C5" s="1318"/>
      <c r="D5" s="1318"/>
      <c r="E5" s="1318"/>
      <c r="F5" s="1318"/>
      <c r="G5" s="1318"/>
      <c r="H5" s="1318"/>
      <c r="I5" s="1318"/>
      <c r="J5" s="1318"/>
      <c r="K5" s="1318"/>
      <c r="L5" s="4"/>
      <c r="N5" s="1"/>
    </row>
    <row r="6" spans="1:14" x14ac:dyDescent="0.25">
      <c r="B6" s="1312" t="s">
        <v>4</v>
      </c>
      <c r="C6" s="1313"/>
      <c r="D6" s="1313"/>
      <c r="E6" s="1313"/>
      <c r="F6" s="1313"/>
      <c r="G6" s="1313"/>
      <c r="H6" s="1313"/>
      <c r="I6" s="1313"/>
      <c r="J6" s="1313"/>
      <c r="K6" s="1313"/>
      <c r="L6" s="4"/>
      <c r="N6" s="328"/>
    </row>
    <row r="7" spans="1:14" x14ac:dyDescent="0.25">
      <c r="B7" s="4"/>
      <c r="D7" s="4"/>
      <c r="E7" s="4"/>
      <c r="F7" s="4"/>
      <c r="G7" s="4"/>
      <c r="H7" s="217"/>
      <c r="I7" s="217"/>
      <c r="J7" s="217"/>
      <c r="K7" s="4"/>
      <c r="L7" s="4"/>
    </row>
    <row r="8" spans="1:14" x14ac:dyDescent="0.25">
      <c r="A8" s="4" t="s">
        <v>5</v>
      </c>
      <c r="B8" s="217"/>
      <c r="C8" s="4" t="s">
        <v>210</v>
      </c>
      <c r="D8" s="217"/>
      <c r="E8" s="34" t="s">
        <v>187</v>
      </c>
      <c r="F8" s="4"/>
      <c r="G8" s="34" t="s">
        <v>188</v>
      </c>
      <c r="H8" s="4"/>
      <c r="I8" s="34" t="s">
        <v>211</v>
      </c>
      <c r="J8" s="217"/>
      <c r="K8" s="4"/>
      <c r="L8" s="4" t="s">
        <v>5</v>
      </c>
    </row>
    <row r="9" spans="1:14" x14ac:dyDescent="0.25">
      <c r="A9" s="4" t="s">
        <v>6</v>
      </c>
      <c r="B9" s="217"/>
      <c r="C9" s="848" t="s">
        <v>212</v>
      </c>
      <c r="D9" s="217"/>
      <c r="E9" s="967">
        <f>'Stmt AD'!E9</f>
        <v>45657</v>
      </c>
      <c r="F9" s="217"/>
      <c r="G9" s="967">
        <f>'Stmt AD'!G9</f>
        <v>46022</v>
      </c>
      <c r="H9" s="217"/>
      <c r="I9" s="849" t="s">
        <v>213</v>
      </c>
      <c r="J9" s="217"/>
      <c r="K9" s="848" t="s">
        <v>8</v>
      </c>
      <c r="L9" s="4" t="s">
        <v>6</v>
      </c>
      <c r="N9" s="1088"/>
    </row>
    <row r="10" spans="1:14" x14ac:dyDescent="0.25">
      <c r="B10" s="4"/>
      <c r="D10" s="4"/>
      <c r="E10" s="4"/>
      <c r="F10" s="4"/>
      <c r="G10" s="4"/>
      <c r="H10" s="4"/>
      <c r="I10" s="4"/>
      <c r="J10" s="4"/>
      <c r="K10" s="4"/>
      <c r="L10" s="4"/>
      <c r="N10" s="824"/>
    </row>
    <row r="11" spans="1:14" ht="18.75" x14ac:dyDescent="0.25">
      <c r="A11" s="4">
        <v>1</v>
      </c>
      <c r="B11" s="31" t="s">
        <v>356</v>
      </c>
      <c r="C11" s="4" t="s">
        <v>357</v>
      </c>
      <c r="D11" s="4"/>
      <c r="E11" s="69"/>
      <c r="F11" s="35"/>
      <c r="G11" s="69"/>
      <c r="H11" s="39"/>
      <c r="I11" s="40">
        <f>'AE-1'!F31</f>
        <v>2446724.2792333583</v>
      </c>
      <c r="J11" s="1086" t="s">
        <v>2062</v>
      </c>
      <c r="K11" s="4" t="s">
        <v>358</v>
      </c>
      <c r="L11" s="4">
        <f>A11</f>
        <v>1</v>
      </c>
      <c r="N11" s="1088"/>
    </row>
    <row r="12" spans="1:14" x14ac:dyDescent="0.25">
      <c r="A12" s="4">
        <f>A11+1</f>
        <v>2</v>
      </c>
      <c r="E12" s="70"/>
      <c r="G12" s="70"/>
      <c r="H12" s="41"/>
      <c r="I12" s="70"/>
      <c r="J12" s="41"/>
      <c r="K12" s="329"/>
      <c r="L12" s="4">
        <f>L11+1</f>
        <v>2</v>
      </c>
      <c r="N12" s="824"/>
    </row>
    <row r="13" spans="1:14" ht="18.75" x14ac:dyDescent="0.25">
      <c r="A13" s="4">
        <f t="shared" ref="A13:A29" si="0">+A12+1</f>
        <v>3</v>
      </c>
      <c r="B13" s="31" t="s">
        <v>359</v>
      </c>
      <c r="E13" s="40">
        <f>'AE-2'!C14</f>
        <v>0</v>
      </c>
      <c r="F13" s="1086" t="s">
        <v>2062</v>
      </c>
      <c r="G13" s="40">
        <f>'AE-2'!C16</f>
        <v>0</v>
      </c>
      <c r="H13" s="71"/>
      <c r="I13" s="38">
        <f>(E13+G13)/2</f>
        <v>0</v>
      </c>
      <c r="J13" s="71"/>
      <c r="K13" s="4" t="s">
        <v>360</v>
      </c>
      <c r="L13" s="4">
        <f t="shared" ref="L13:L29" si="1">+L12+1</f>
        <v>3</v>
      </c>
      <c r="N13" s="824"/>
    </row>
    <row r="14" spans="1:14" x14ac:dyDescent="0.25">
      <c r="A14" s="4">
        <f t="shared" si="0"/>
        <v>4</v>
      </c>
      <c r="E14" s="70"/>
      <c r="G14" s="70"/>
      <c r="H14" s="41"/>
      <c r="I14" s="38"/>
      <c r="J14" s="41"/>
      <c r="K14" s="44"/>
      <c r="L14" s="4">
        <f t="shared" si="1"/>
        <v>4</v>
      </c>
      <c r="N14" s="824"/>
    </row>
    <row r="15" spans="1:14" ht="18.75" x14ac:dyDescent="0.25">
      <c r="A15" s="4">
        <f t="shared" si="0"/>
        <v>5</v>
      </c>
      <c r="B15" s="31" t="s">
        <v>361</v>
      </c>
      <c r="E15" s="42">
        <f>'AE-3'!C14</f>
        <v>171620.81378313914</v>
      </c>
      <c r="F15" s="1086" t="s">
        <v>2062</v>
      </c>
      <c r="G15" s="42">
        <f>'AE-3'!C16</f>
        <v>178302.79457314053</v>
      </c>
      <c r="H15" s="1086" t="s">
        <v>2062</v>
      </c>
      <c r="I15" s="38">
        <f>(E15+G15)/2</f>
        <v>174961.80417813984</v>
      </c>
      <c r="J15" s="41"/>
      <c r="K15" s="4" t="s">
        <v>362</v>
      </c>
      <c r="L15" s="4">
        <f t="shared" si="1"/>
        <v>5</v>
      </c>
      <c r="N15" s="824"/>
    </row>
    <row r="16" spans="1:14" x14ac:dyDescent="0.25">
      <c r="A16" s="4">
        <f t="shared" si="0"/>
        <v>6</v>
      </c>
      <c r="E16" s="38"/>
      <c r="G16" s="38"/>
      <c r="H16" s="41"/>
      <c r="I16" s="38"/>
      <c r="J16" s="41"/>
      <c r="K16" s="44"/>
      <c r="L16" s="4">
        <f t="shared" si="1"/>
        <v>6</v>
      </c>
      <c r="N16" s="824"/>
    </row>
    <row r="17" spans="1:14" ht="18.75" x14ac:dyDescent="0.25">
      <c r="A17" s="4">
        <f t="shared" si="0"/>
        <v>7</v>
      </c>
      <c r="B17" s="31" t="s">
        <v>363</v>
      </c>
      <c r="E17" s="42">
        <f>'AE-4'!D15</f>
        <v>875143.0719804999</v>
      </c>
      <c r="G17" s="42">
        <f>'AE-4'!D19</f>
        <v>952599.82463369996</v>
      </c>
      <c r="H17" s="39"/>
      <c r="I17" s="38">
        <f>(E17+G17)/2</f>
        <v>913871.44830709998</v>
      </c>
      <c r="J17" s="41"/>
      <c r="K17" s="4" t="s">
        <v>364</v>
      </c>
      <c r="L17" s="4">
        <f t="shared" si="1"/>
        <v>7</v>
      </c>
      <c r="N17" s="824"/>
    </row>
    <row r="18" spans="1:14" x14ac:dyDescent="0.25">
      <c r="A18" s="4">
        <f t="shared" si="0"/>
        <v>8</v>
      </c>
      <c r="E18" s="70"/>
      <c r="G18" s="70"/>
      <c r="H18" s="41"/>
      <c r="I18" s="70"/>
      <c r="J18" s="41"/>
      <c r="K18" s="46"/>
      <c r="L18" s="4">
        <f t="shared" si="1"/>
        <v>8</v>
      </c>
      <c r="N18" s="824"/>
    </row>
    <row r="19" spans="1:14" x14ac:dyDescent="0.25">
      <c r="A19" s="4">
        <f t="shared" si="0"/>
        <v>9</v>
      </c>
      <c r="B19" s="31" t="s">
        <v>238</v>
      </c>
      <c r="E19" s="72"/>
      <c r="G19" s="72"/>
      <c r="H19" s="73"/>
      <c r="I19" s="968">
        <f>'Stmt AI'!E25</f>
        <v>0.20710488637345756</v>
      </c>
      <c r="J19" s="73"/>
      <c r="K19" s="44" t="s">
        <v>239</v>
      </c>
      <c r="L19" s="4">
        <f t="shared" si="1"/>
        <v>9</v>
      </c>
      <c r="N19"/>
    </row>
    <row r="20" spans="1:14" x14ac:dyDescent="0.25">
      <c r="A20" s="4">
        <f t="shared" si="0"/>
        <v>10</v>
      </c>
      <c r="E20" s="70"/>
      <c r="G20" s="70"/>
      <c r="H20" s="41"/>
      <c r="I20" s="74"/>
      <c r="J20" s="41"/>
      <c r="K20" s="46"/>
      <c r="L20" s="4">
        <f t="shared" si="1"/>
        <v>10</v>
      </c>
    </row>
    <row r="21" spans="1:14" x14ac:dyDescent="0.25">
      <c r="A21" s="4">
        <f t="shared" si="0"/>
        <v>11</v>
      </c>
      <c r="B21" s="31" t="s">
        <v>121</v>
      </c>
      <c r="E21" s="70"/>
      <c r="G21" s="70"/>
      <c r="H21" s="41"/>
      <c r="I21" s="75">
        <f>I13*I19</f>
        <v>0</v>
      </c>
      <c r="J21" s="71"/>
      <c r="K21" s="46" t="s">
        <v>365</v>
      </c>
      <c r="L21" s="4">
        <f t="shared" si="1"/>
        <v>11</v>
      </c>
    </row>
    <row r="22" spans="1:14" x14ac:dyDescent="0.25">
      <c r="A22" s="4">
        <f t="shared" si="0"/>
        <v>12</v>
      </c>
      <c r="E22" s="70"/>
      <c r="G22" s="70"/>
      <c r="H22" s="41"/>
      <c r="I22" s="74"/>
      <c r="J22" s="41"/>
      <c r="K22" s="46"/>
      <c r="L22" s="4">
        <f t="shared" si="1"/>
        <v>12</v>
      </c>
    </row>
    <row r="23" spans="1:14" x14ac:dyDescent="0.25">
      <c r="A23" s="4">
        <f t="shared" si="0"/>
        <v>13</v>
      </c>
      <c r="B23" s="31" t="s">
        <v>366</v>
      </c>
      <c r="E23" s="38"/>
      <c r="F23" s="6"/>
      <c r="G23" s="38"/>
      <c r="H23" s="75"/>
      <c r="I23" s="76">
        <f>I15*I19</f>
        <v>36235.444574008783</v>
      </c>
      <c r="J23" s="41"/>
      <c r="K23" s="46" t="s">
        <v>367</v>
      </c>
      <c r="L23" s="4">
        <f t="shared" si="1"/>
        <v>13</v>
      </c>
    </row>
    <row r="24" spans="1:14" x14ac:dyDescent="0.25">
      <c r="A24" s="4">
        <f t="shared" si="0"/>
        <v>14</v>
      </c>
      <c r="E24" s="38"/>
      <c r="F24" s="6"/>
      <c r="G24" s="38"/>
      <c r="H24" s="39"/>
      <c r="I24" s="76"/>
      <c r="J24" s="41"/>
      <c r="K24" s="46"/>
      <c r="L24" s="4">
        <f t="shared" si="1"/>
        <v>14</v>
      </c>
    </row>
    <row r="25" spans="1:14" x14ac:dyDescent="0.25">
      <c r="A25" s="4">
        <f t="shared" si="0"/>
        <v>15</v>
      </c>
      <c r="B25" s="31" t="s">
        <v>368</v>
      </c>
      <c r="E25" s="76"/>
      <c r="F25" s="6"/>
      <c r="G25" s="76"/>
      <c r="H25" s="39"/>
      <c r="I25" s="969">
        <f>I17*I19</f>
        <v>189267.24246158905</v>
      </c>
      <c r="J25" s="41"/>
      <c r="K25" s="46" t="s">
        <v>369</v>
      </c>
      <c r="L25" s="4">
        <f t="shared" si="1"/>
        <v>15</v>
      </c>
    </row>
    <row r="26" spans="1:14" x14ac:dyDescent="0.25">
      <c r="A26" s="4">
        <f t="shared" si="0"/>
        <v>16</v>
      </c>
      <c r="E26" s="76"/>
      <c r="F26" s="6"/>
      <c r="G26" s="76"/>
      <c r="H26" s="39"/>
      <c r="I26" s="76"/>
      <c r="J26" s="41"/>
      <c r="K26" s="46"/>
      <c r="L26" s="4">
        <f t="shared" si="1"/>
        <v>16</v>
      </c>
    </row>
    <row r="27" spans="1:14" ht="16.5" thickBot="1" x14ac:dyDescent="0.3">
      <c r="A27" s="4">
        <f t="shared" si="0"/>
        <v>17</v>
      </c>
      <c r="B27" s="31" t="s">
        <v>127</v>
      </c>
      <c r="E27" s="75"/>
      <c r="F27" s="6"/>
      <c r="G27" s="75"/>
      <c r="H27" s="39"/>
      <c r="I27" s="77">
        <f>I11+I21+I23+I25</f>
        <v>2672226.9662689562</v>
      </c>
      <c r="J27" s="71"/>
      <c r="K27" s="46" t="s">
        <v>370</v>
      </c>
      <c r="L27" s="4">
        <f t="shared" si="1"/>
        <v>17</v>
      </c>
    </row>
    <row r="28" spans="1:14" ht="16.5" thickTop="1" x14ac:dyDescent="0.25">
      <c r="A28" s="4">
        <f t="shared" si="0"/>
        <v>18</v>
      </c>
      <c r="G28" s="48"/>
      <c r="H28" s="41"/>
      <c r="I28" s="41"/>
      <c r="J28" s="41"/>
      <c r="K28" s="46"/>
      <c r="L28" s="4">
        <f t="shared" si="1"/>
        <v>18</v>
      </c>
    </row>
    <row r="29" spans="1:14" ht="19.5" thickBot="1" x14ac:dyDescent="0.3">
      <c r="A29" s="4">
        <f t="shared" si="0"/>
        <v>19</v>
      </c>
      <c r="B29" s="31" t="s">
        <v>371</v>
      </c>
      <c r="D29" s="4"/>
      <c r="E29" s="39"/>
      <c r="G29" s="39"/>
      <c r="H29" s="39"/>
      <c r="I29" s="78">
        <f>'AE-5'!E31</f>
        <v>0</v>
      </c>
      <c r="J29" s="4"/>
      <c r="K29" s="4" t="s">
        <v>372</v>
      </c>
      <c r="L29" s="4">
        <f t="shared" si="1"/>
        <v>19</v>
      </c>
    </row>
    <row r="30" spans="1:14" ht="16.5" thickTop="1" x14ac:dyDescent="0.25">
      <c r="G30" s="48"/>
      <c r="H30" s="41"/>
      <c r="I30" s="41"/>
      <c r="J30" s="41"/>
      <c r="K30" s="46"/>
      <c r="L30" s="4"/>
    </row>
    <row r="31" spans="1:14" x14ac:dyDescent="0.25">
      <c r="G31" s="48"/>
      <c r="H31" s="41"/>
      <c r="I31" s="41"/>
      <c r="J31" s="41"/>
      <c r="K31" s="46"/>
      <c r="L31" s="4"/>
    </row>
    <row r="32" spans="1:14" x14ac:dyDescent="0.25">
      <c r="A32" s="1086" t="s">
        <v>2062</v>
      </c>
      <c r="B32" s="1" t="str">
        <f>'Stmt AD'!B48</f>
        <v xml:space="preserve">Items in BOLD do not tie to the TO6 Cycle 2 included in the Offer of Settlement filing per ER25-270-002 and/or the 2025 FERC Form 1 filed on April 17, 2026 due to AFUDC adjustments made in </v>
      </c>
      <c r="G32" s="48"/>
      <c r="H32" s="41"/>
      <c r="I32" s="41"/>
      <c r="J32" s="41"/>
      <c r="K32" s="46"/>
      <c r="L32" s="4"/>
    </row>
    <row r="33" spans="1:2" x14ac:dyDescent="0.25">
      <c r="B33" s="1" t="str">
        <f>'Stmt AD'!B49</f>
        <v>response to settlement negotiations and other adjustments from the Transmission Project Review process.</v>
      </c>
    </row>
    <row r="34" spans="1:2" ht="18.75" x14ac:dyDescent="0.25">
      <c r="A34" s="252">
        <v>1</v>
      </c>
      <c r="B34" s="31" t="s">
        <v>373</v>
      </c>
    </row>
    <row r="35" spans="1:2" ht="18.75" x14ac:dyDescent="0.25">
      <c r="A35" s="265">
        <v>2</v>
      </c>
      <c r="B35" s="31" t="s">
        <v>374</v>
      </c>
    </row>
    <row r="36" spans="1:2" ht="18.75" x14ac:dyDescent="0.25">
      <c r="A36" s="265">
        <v>3</v>
      </c>
      <c r="B36" s="31" t="s">
        <v>375</v>
      </c>
    </row>
    <row r="37" spans="1:2" ht="18.75" x14ac:dyDescent="0.25">
      <c r="A37" s="265">
        <v>4</v>
      </c>
      <c r="B37" s="31" t="s">
        <v>253</v>
      </c>
    </row>
    <row r="39" spans="1:2" ht="18.75" x14ac:dyDescent="0.25">
      <c r="A39" s="265"/>
    </row>
    <row r="41" spans="1:2" x14ac:dyDescent="0.25">
      <c r="A41" s="71"/>
      <c r="B41" s="1"/>
    </row>
  </sheetData>
  <mergeCells count="5">
    <mergeCell ref="B2:K2"/>
    <mergeCell ref="B3:K3"/>
    <mergeCell ref="B4:K4"/>
    <mergeCell ref="B5:K5"/>
    <mergeCell ref="B6:K6"/>
  </mergeCells>
  <printOptions horizontalCentered="1"/>
  <pageMargins left="0.5" right="0.5" top="0.5" bottom="0.5" header="0.25" footer="0.25"/>
  <pageSetup scale="49" orientation="portrait" r:id="rId1"/>
  <headerFooter scaleWithDoc="0">
    <oddFooter>&amp;C&amp;"Times New Roman,Regular"&amp;10&amp;A</oddFooter>
  </headerFooter>
  <customProperties>
    <customPr name="_pios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2:J47"/>
  <sheetViews>
    <sheetView zoomScale="80" zoomScaleNormal="80" workbookViewId="0">
      <selection activeCell="I40" sqref="I40"/>
    </sheetView>
  </sheetViews>
  <sheetFormatPr defaultColWidth="9.28515625" defaultRowHeight="15.75" x14ac:dyDescent="0.25"/>
  <cols>
    <col min="1" max="1" width="5.28515625" style="217" customWidth="1"/>
    <col min="2" max="2" width="35.28515625" style="1" customWidth="1"/>
    <col min="3" max="3" width="18.5703125" style="86" customWidth="1"/>
    <col min="4" max="4" width="3" style="86" bestFit="1" customWidth="1"/>
    <col min="5" max="5" width="26.7109375" style="86" customWidth="1"/>
    <col min="6" max="6" width="18.5703125" style="1" customWidth="1"/>
    <col min="7" max="7" width="3" style="1" bestFit="1" customWidth="1"/>
    <col min="8" max="8" width="65" style="1" bestFit="1" customWidth="1"/>
    <col min="9" max="9" width="5.28515625" style="217" customWidth="1"/>
    <col min="10" max="10" width="24" style="1" customWidth="1"/>
    <col min="11" max="11" width="11" style="1" customWidth="1"/>
    <col min="12" max="12" width="7.28515625" style="1" customWidth="1"/>
    <col min="13" max="13" width="9.28515625" style="1" customWidth="1"/>
    <col min="14" max="14" width="14" style="1" customWidth="1"/>
    <col min="15" max="15" width="13.42578125" style="1" customWidth="1"/>
    <col min="16" max="16384" width="9.28515625" style="1"/>
  </cols>
  <sheetData>
    <row r="2" spans="1:10" x14ac:dyDescent="0.25">
      <c r="B2" s="1316" t="s">
        <v>0</v>
      </c>
      <c r="C2" s="1316"/>
      <c r="D2" s="1316"/>
      <c r="E2" s="1316"/>
      <c r="F2" s="1316"/>
      <c r="G2" s="1316"/>
      <c r="H2" s="1316"/>
    </row>
    <row r="3" spans="1:10" x14ac:dyDescent="0.25">
      <c r="B3" s="1316" t="s">
        <v>376</v>
      </c>
      <c r="C3" s="1316"/>
      <c r="D3" s="1316"/>
      <c r="E3" s="1316"/>
      <c r="F3" s="1316"/>
      <c r="G3" s="1316"/>
      <c r="H3" s="1316"/>
    </row>
    <row r="4" spans="1:10" x14ac:dyDescent="0.25">
      <c r="B4" s="1316" t="s">
        <v>377</v>
      </c>
      <c r="C4" s="1316"/>
      <c r="D4" s="1316"/>
      <c r="E4" s="1316"/>
      <c r="F4" s="1316"/>
      <c r="G4" s="1316"/>
      <c r="H4" s="1316"/>
    </row>
    <row r="5" spans="1:10" x14ac:dyDescent="0.25">
      <c r="B5" s="1316" t="str">
        <f>'AD-1'!B5</f>
        <v>BASE PERIOD / TRUE UP PERIOD - 12/31/2025 PER BOOK</v>
      </c>
      <c r="C5" s="1316"/>
      <c r="D5" s="1316"/>
      <c r="E5" s="1316"/>
      <c r="F5" s="1316"/>
      <c r="G5" s="1316"/>
      <c r="H5" s="1316"/>
    </row>
    <row r="6" spans="1:10" x14ac:dyDescent="0.25">
      <c r="B6" s="1312" t="s">
        <v>4</v>
      </c>
      <c r="C6" s="1312"/>
      <c r="D6" s="1312"/>
      <c r="E6" s="1312"/>
      <c r="F6" s="1312"/>
      <c r="G6" s="1312"/>
      <c r="H6" s="1312"/>
    </row>
    <row r="7" spans="1:10" x14ac:dyDescent="0.25">
      <c r="B7" s="266"/>
      <c r="C7" s="267"/>
      <c r="D7" s="267"/>
      <c r="E7" s="267"/>
      <c r="F7" s="266"/>
      <c r="G7" s="266"/>
      <c r="H7" s="266"/>
    </row>
    <row r="8" spans="1:10" x14ac:dyDescent="0.25">
      <c r="B8" s="1316" t="s">
        <v>294</v>
      </c>
      <c r="C8" s="1316"/>
      <c r="D8" s="1316"/>
      <c r="E8" s="1316"/>
      <c r="F8" s="1316"/>
      <c r="G8" s="1316"/>
      <c r="H8" s="1316"/>
    </row>
    <row r="9" spans="1:10" x14ac:dyDescent="0.25">
      <c r="C9" s="1039"/>
      <c r="G9" s="966"/>
    </row>
    <row r="10" spans="1:10" x14ac:dyDescent="0.25">
      <c r="A10" s="4"/>
      <c r="B10" s="310"/>
      <c r="C10" s="432" t="s">
        <v>180</v>
      </c>
      <c r="D10" s="268"/>
      <c r="E10" s="925"/>
      <c r="F10" s="1077"/>
      <c r="G10" s="261"/>
      <c r="H10" s="925"/>
    </row>
    <row r="11" spans="1:10" x14ac:dyDescent="0.25">
      <c r="A11" s="4"/>
      <c r="B11" s="297"/>
      <c r="C11" s="297" t="s">
        <v>295</v>
      </c>
      <c r="D11" s="217"/>
      <c r="E11" s="269"/>
      <c r="F11" s="217" t="s">
        <v>295</v>
      </c>
      <c r="G11" s="217"/>
      <c r="H11" s="269"/>
    </row>
    <row r="12" spans="1:10" x14ac:dyDescent="0.25">
      <c r="A12" s="4" t="s">
        <v>5</v>
      </c>
      <c r="B12" s="313"/>
      <c r="C12" s="297" t="s">
        <v>378</v>
      </c>
      <c r="D12" s="217"/>
      <c r="E12" s="926"/>
      <c r="F12" s="217" t="s">
        <v>378</v>
      </c>
      <c r="G12" s="217"/>
      <c r="H12" s="926"/>
      <c r="I12" s="4" t="s">
        <v>5</v>
      </c>
    </row>
    <row r="13" spans="1:10" ht="18.75" x14ac:dyDescent="0.25">
      <c r="A13" s="4" t="s">
        <v>6</v>
      </c>
      <c r="B13" s="305" t="s">
        <v>260</v>
      </c>
      <c r="C13" s="305" t="s">
        <v>261</v>
      </c>
      <c r="D13" s="927"/>
      <c r="E13" s="274" t="s">
        <v>8</v>
      </c>
      <c r="F13" s="927" t="s">
        <v>262</v>
      </c>
      <c r="G13" s="927"/>
      <c r="H13" s="274" t="s">
        <v>8</v>
      </c>
      <c r="I13" s="4" t="s">
        <v>6</v>
      </c>
    </row>
    <row r="14" spans="1:10" x14ac:dyDescent="0.25">
      <c r="A14" s="4">
        <v>1</v>
      </c>
      <c r="B14" s="628" t="str">
        <f>'AD-1'!B14</f>
        <v>Dec-24</v>
      </c>
      <c r="C14" s="119">
        <v>2364967.7954863529</v>
      </c>
      <c r="D14" s="1086" t="s">
        <v>2062</v>
      </c>
      <c r="E14" s="938" t="s">
        <v>263</v>
      </c>
      <c r="F14" s="119">
        <v>2326916.9564017956</v>
      </c>
      <c r="G14" s="1086" t="s">
        <v>2062</v>
      </c>
      <c r="H14" s="938" t="s">
        <v>1952</v>
      </c>
      <c r="I14" s="4">
        <f>A14</f>
        <v>1</v>
      </c>
      <c r="J14" s="276"/>
    </row>
    <row r="15" spans="1:10" ht="18.75" x14ac:dyDescent="0.25">
      <c r="A15" s="4">
        <f>A14+1</f>
        <v>2</v>
      </c>
      <c r="B15" s="628" t="str">
        <f>'AD-1'!B15</f>
        <v>Jan-25</v>
      </c>
      <c r="C15" s="124">
        <v>2386453.2645961707</v>
      </c>
      <c r="D15" s="1085"/>
      <c r="E15" s="940"/>
      <c r="F15" s="124">
        <v>2348030.7903448683</v>
      </c>
      <c r="G15" s="11"/>
      <c r="H15" s="940"/>
      <c r="I15" s="4">
        <f>I14+1</f>
        <v>2</v>
      </c>
    </row>
    <row r="16" spans="1:10" x14ac:dyDescent="0.25">
      <c r="A16" s="4">
        <f t="shared" ref="A16:A32" si="0">A15+1</f>
        <v>3</v>
      </c>
      <c r="B16" s="325" t="s">
        <v>265</v>
      </c>
      <c r="C16" s="124">
        <v>2408449.6914893398</v>
      </c>
      <c r="D16" s="52"/>
      <c r="E16" s="940"/>
      <c r="F16" s="124">
        <v>2369651.9583688062</v>
      </c>
      <c r="G16" s="11"/>
      <c r="H16" s="940"/>
      <c r="I16" s="4">
        <f t="shared" ref="I16:I32" si="1">I15+1</f>
        <v>3</v>
      </c>
    </row>
    <row r="17" spans="1:10" x14ac:dyDescent="0.25">
      <c r="A17" s="4">
        <f t="shared" si="0"/>
        <v>4</v>
      </c>
      <c r="B17" s="325" t="s">
        <v>266</v>
      </c>
      <c r="C17" s="124">
        <v>2429591.7370238281</v>
      </c>
      <c r="D17" s="52"/>
      <c r="E17" s="940"/>
      <c r="F17" s="124">
        <v>2390397.2240028922</v>
      </c>
      <c r="G17" s="11"/>
      <c r="H17" s="940"/>
      <c r="I17" s="4">
        <f t="shared" si="1"/>
        <v>4</v>
      </c>
    </row>
    <row r="18" spans="1:10" x14ac:dyDescent="0.25">
      <c r="A18" s="4">
        <f t="shared" si="0"/>
        <v>5</v>
      </c>
      <c r="B18" s="325" t="s">
        <v>267</v>
      </c>
      <c r="C18" s="124">
        <v>2449325.0141804493</v>
      </c>
      <c r="D18" s="52"/>
      <c r="E18" s="940"/>
      <c r="F18" s="124">
        <v>2409781.7944025341</v>
      </c>
      <c r="G18" s="11"/>
      <c r="H18" s="940"/>
      <c r="I18" s="4">
        <f t="shared" si="1"/>
        <v>5</v>
      </c>
      <c r="J18" s="330"/>
    </row>
    <row r="19" spans="1:10" x14ac:dyDescent="0.25">
      <c r="A19" s="4">
        <f t="shared" si="0"/>
        <v>6</v>
      </c>
      <c r="B19" s="325" t="s">
        <v>268</v>
      </c>
      <c r="C19" s="124">
        <v>2467332.7552480958</v>
      </c>
      <c r="D19" s="52"/>
      <c r="E19" s="940"/>
      <c r="F19" s="124">
        <v>2427439.3389720679</v>
      </c>
      <c r="G19" s="11"/>
      <c r="H19" s="940"/>
      <c r="I19" s="4">
        <f t="shared" si="1"/>
        <v>6</v>
      </c>
    </row>
    <row r="20" spans="1:10" x14ac:dyDescent="0.25">
      <c r="A20" s="4">
        <f>A19+1</f>
        <v>7</v>
      </c>
      <c r="B20" s="325" t="s">
        <v>269</v>
      </c>
      <c r="C20" s="124">
        <v>2486220.6939737345</v>
      </c>
      <c r="D20" s="52"/>
      <c r="E20" s="940"/>
      <c r="F20" s="124">
        <v>2445963.7306592278</v>
      </c>
      <c r="G20" s="11"/>
      <c r="H20" s="940"/>
      <c r="I20" s="4">
        <f>I19+1</f>
        <v>7</v>
      </c>
    </row>
    <row r="21" spans="1:10" x14ac:dyDescent="0.25">
      <c r="A21" s="4">
        <f t="shared" si="0"/>
        <v>8</v>
      </c>
      <c r="B21" s="325" t="s">
        <v>270</v>
      </c>
      <c r="C21" s="124">
        <v>2505070.1029959451</v>
      </c>
      <c r="D21" s="52"/>
      <c r="E21" s="940"/>
      <c r="F21" s="124">
        <v>2464497.6151500526</v>
      </c>
      <c r="G21" s="11"/>
      <c r="H21" s="940"/>
      <c r="I21" s="4">
        <f t="shared" si="1"/>
        <v>8</v>
      </c>
    </row>
    <row r="22" spans="1:10" x14ac:dyDescent="0.25">
      <c r="A22" s="4">
        <f t="shared" si="0"/>
        <v>9</v>
      </c>
      <c r="B22" s="325" t="s">
        <v>271</v>
      </c>
      <c r="C22" s="124">
        <v>2524045.9164186297</v>
      </c>
      <c r="D22" s="52"/>
      <c r="E22" s="940"/>
      <c r="F22" s="124">
        <v>2483124.6720009446</v>
      </c>
      <c r="G22" s="11"/>
      <c r="H22" s="940"/>
      <c r="I22" s="4">
        <f t="shared" si="1"/>
        <v>9</v>
      </c>
    </row>
    <row r="23" spans="1:10" x14ac:dyDescent="0.25">
      <c r="A23" s="4">
        <f t="shared" si="0"/>
        <v>10</v>
      </c>
      <c r="B23" s="325" t="s">
        <v>272</v>
      </c>
      <c r="C23" s="124">
        <v>2545831.3451435589</v>
      </c>
      <c r="D23" s="52"/>
      <c r="E23" s="940"/>
      <c r="F23" s="124">
        <v>2504530.8741918504</v>
      </c>
      <c r="G23" s="11"/>
      <c r="H23" s="940"/>
      <c r="I23" s="4">
        <f t="shared" si="1"/>
        <v>10</v>
      </c>
    </row>
    <row r="24" spans="1:10" x14ac:dyDescent="0.25">
      <c r="A24" s="4">
        <f t="shared" si="0"/>
        <v>11</v>
      </c>
      <c r="B24" s="325" t="s">
        <v>273</v>
      </c>
      <c r="C24" s="124">
        <v>2566289.6216901862</v>
      </c>
      <c r="D24" s="52"/>
      <c r="E24" s="940"/>
      <c r="F24" s="124">
        <v>2524641.4770451686</v>
      </c>
      <c r="G24" s="11"/>
      <c r="H24" s="940"/>
      <c r="I24" s="4">
        <f t="shared" si="1"/>
        <v>11</v>
      </c>
    </row>
    <row r="25" spans="1:10" x14ac:dyDescent="0.25">
      <c r="A25" s="4">
        <f t="shared" si="0"/>
        <v>12</v>
      </c>
      <c r="B25" s="325" t="s">
        <v>274</v>
      </c>
      <c r="C25" s="124">
        <v>2587319.3404654679</v>
      </c>
      <c r="D25" s="52"/>
      <c r="E25" s="940"/>
      <c r="F25" s="124">
        <v>2545328.4878202341</v>
      </c>
      <c r="G25" s="11"/>
      <c r="H25" s="940"/>
      <c r="I25" s="4">
        <f t="shared" si="1"/>
        <v>12</v>
      </c>
    </row>
    <row r="26" spans="1:10" x14ac:dyDescent="0.25">
      <c r="A26" s="4">
        <f t="shared" si="0"/>
        <v>13</v>
      </c>
      <c r="B26" s="1081" t="str">
        <f>'AD-1'!B26</f>
        <v>Dec-25</v>
      </c>
      <c r="C26" s="898">
        <v>2608774.8311660062</v>
      </c>
      <c r="D26" s="53"/>
      <c r="E26" s="290" t="s">
        <v>263</v>
      </c>
      <c r="F26" s="898">
        <v>2567110.7106732195</v>
      </c>
      <c r="G26" s="53"/>
      <c r="H26" s="938" t="s">
        <v>2064</v>
      </c>
      <c r="I26" s="4">
        <f t="shared" si="1"/>
        <v>13</v>
      </c>
      <c r="J26" s="276"/>
    </row>
    <row r="27" spans="1:10" x14ac:dyDescent="0.25">
      <c r="A27" s="4">
        <f t="shared" si="0"/>
        <v>14</v>
      </c>
      <c r="B27" s="318"/>
      <c r="C27" s="593"/>
      <c r="D27" s="59"/>
      <c r="E27" s="924"/>
      <c r="F27" s="86"/>
      <c r="G27" s="86"/>
      <c r="H27" s="924"/>
      <c r="I27" s="4">
        <f t="shared" si="1"/>
        <v>14</v>
      </c>
    </row>
    <row r="28" spans="1:10" x14ac:dyDescent="0.25">
      <c r="A28" s="4">
        <f t="shared" si="0"/>
        <v>15</v>
      </c>
      <c r="B28" s="318" t="s">
        <v>276</v>
      </c>
      <c r="C28" s="1082">
        <f>SUM(C14:C26)</f>
        <v>32329672.109877765</v>
      </c>
      <c r="D28" s="55"/>
      <c r="E28" s="939" t="s">
        <v>277</v>
      </c>
      <c r="F28" s="43">
        <f>SUM(F14:F26)</f>
        <v>31807415.630033661</v>
      </c>
      <c r="G28" s="43"/>
      <c r="H28" s="939" t="s">
        <v>277</v>
      </c>
      <c r="I28" s="4">
        <f t="shared" si="1"/>
        <v>15</v>
      </c>
    </row>
    <row r="29" spans="1:10" x14ac:dyDescent="0.25">
      <c r="A29" s="4">
        <f t="shared" si="0"/>
        <v>16</v>
      </c>
      <c r="B29" s="327"/>
      <c r="C29" s="1084"/>
      <c r="D29" s="56"/>
      <c r="E29" s="81"/>
      <c r="F29" s="1079"/>
      <c r="G29" s="56"/>
      <c r="H29" s="81"/>
      <c r="I29" s="4">
        <f t="shared" si="1"/>
        <v>16</v>
      </c>
    </row>
    <row r="30" spans="1:10" x14ac:dyDescent="0.25">
      <c r="A30" s="4">
        <f t="shared" si="0"/>
        <v>17</v>
      </c>
      <c r="B30" s="318"/>
      <c r="C30" s="1083"/>
      <c r="D30" s="79"/>
      <c r="E30" s="671"/>
      <c r="F30" s="279"/>
      <c r="G30" s="279"/>
      <c r="H30" s="671"/>
      <c r="I30" s="4">
        <f t="shared" si="1"/>
        <v>17</v>
      </c>
    </row>
    <row r="31" spans="1:10" x14ac:dyDescent="0.25">
      <c r="A31" s="4">
        <f t="shared" si="0"/>
        <v>18</v>
      </c>
      <c r="B31" s="318" t="s">
        <v>278</v>
      </c>
      <c r="C31" s="1082">
        <f>C28/13</f>
        <v>2486897.8546059821</v>
      </c>
      <c r="D31" s="55"/>
      <c r="E31" s="939" t="s">
        <v>279</v>
      </c>
      <c r="F31" s="43">
        <f>F28/13</f>
        <v>2446724.2792333583</v>
      </c>
      <c r="G31" s="1086" t="s">
        <v>2062</v>
      </c>
      <c r="H31" s="938" t="s">
        <v>2064</v>
      </c>
      <c r="I31" s="4">
        <f t="shared" si="1"/>
        <v>18</v>
      </c>
      <c r="J31" s="276"/>
    </row>
    <row r="32" spans="1:10" x14ac:dyDescent="0.25">
      <c r="A32" s="4">
        <f t="shared" si="0"/>
        <v>19</v>
      </c>
      <c r="B32" s="327"/>
      <c r="C32" s="1076"/>
      <c r="D32" s="278"/>
      <c r="E32" s="291"/>
      <c r="F32" s="1080"/>
      <c r="G32" s="278"/>
      <c r="H32" s="291"/>
      <c r="I32" s="4">
        <f t="shared" si="1"/>
        <v>19</v>
      </c>
    </row>
    <row r="33" spans="1:10" x14ac:dyDescent="0.25">
      <c r="A33" s="4"/>
      <c r="B33" s="31"/>
      <c r="C33" s="31"/>
      <c r="D33" s="31"/>
      <c r="E33" s="31"/>
      <c r="F33" s="31"/>
      <c r="G33" s="31"/>
      <c r="H33" s="31"/>
    </row>
    <row r="34" spans="1:10" x14ac:dyDescent="0.25">
      <c r="A34" s="4"/>
      <c r="B34" s="31"/>
      <c r="C34" s="31"/>
      <c r="D34" s="31"/>
      <c r="E34" s="31"/>
      <c r="F34" s="31"/>
      <c r="G34" s="31"/>
      <c r="H34" s="31"/>
    </row>
    <row r="35" spans="1:10" x14ac:dyDescent="0.25">
      <c r="A35" s="1086" t="s">
        <v>2062</v>
      </c>
      <c r="B35" s="1" t="str">
        <f>'Stmt AD'!B48</f>
        <v xml:space="preserve">Items in BOLD do not tie to the TO6 Cycle 2 included in the Offer of Settlement filing per ER25-270-002 and/or the 2025 FERC Form 1 filed on April 17, 2026 due to AFUDC adjustments made in </v>
      </c>
      <c r="C35" s="31"/>
      <c r="D35" s="31"/>
      <c r="E35" s="31"/>
      <c r="F35" s="31"/>
      <c r="G35" s="31"/>
      <c r="H35" s="31"/>
    </row>
    <row r="36" spans="1:10" x14ac:dyDescent="0.25">
      <c r="B36" s="1" t="str">
        <f>'Stmt AD'!B49</f>
        <v>response to settlement negotiations and other adjustments from the Transmission Project Review process.</v>
      </c>
      <c r="C36" s="31"/>
      <c r="D36" s="31"/>
      <c r="E36" s="31"/>
      <c r="F36" s="105"/>
      <c r="G36" s="105"/>
      <c r="H36" s="31"/>
    </row>
    <row r="37" spans="1:10" ht="18.75" x14ac:dyDescent="0.25">
      <c r="A37" s="265">
        <v>1</v>
      </c>
      <c r="B37" s="31" t="s">
        <v>379</v>
      </c>
      <c r="C37" s="31"/>
      <c r="D37" s="31"/>
      <c r="E37" s="31"/>
      <c r="F37" s="31"/>
      <c r="G37" s="31"/>
      <c r="H37" s="31"/>
    </row>
    <row r="38" spans="1:10" x14ac:dyDescent="0.25">
      <c r="B38" s="31" t="s">
        <v>380</v>
      </c>
      <c r="C38" s="31"/>
      <c r="D38" s="31"/>
      <c r="E38" s="31"/>
      <c r="F38" s="31"/>
      <c r="G38" s="31"/>
      <c r="H38" s="31"/>
    </row>
    <row r="39" spans="1:10" x14ac:dyDescent="0.25">
      <c r="A39"/>
      <c r="B39"/>
      <c r="C39"/>
      <c r="D39"/>
      <c r="E39"/>
      <c r="F39"/>
      <c r="G39"/>
      <c r="H39"/>
      <c r="I39"/>
      <c r="J39"/>
    </row>
    <row r="40" spans="1:10" x14ac:dyDescent="0.25">
      <c r="A40"/>
      <c r="B40"/>
      <c r="C40"/>
      <c r="D40"/>
      <c r="E40"/>
      <c r="F40"/>
      <c r="G40"/>
      <c r="H40"/>
      <c r="I40"/>
      <c r="J40"/>
    </row>
    <row r="41" spans="1:10" x14ac:dyDescent="0.25">
      <c r="A41" s="261"/>
    </row>
    <row r="42" spans="1:10" x14ac:dyDescent="0.25">
      <c r="B42" s="31"/>
    </row>
    <row r="43" spans="1:10" x14ac:dyDescent="0.25">
      <c r="B43" s="31"/>
    </row>
    <row r="44" spans="1:10" x14ac:dyDescent="0.25">
      <c r="A44" s="261"/>
    </row>
    <row r="47" spans="1:10" x14ac:dyDescent="0.25">
      <c r="A47" s="261"/>
    </row>
  </sheetData>
  <mergeCells count="6">
    <mergeCell ref="B8:H8"/>
    <mergeCell ref="B2:H2"/>
    <mergeCell ref="B3:H3"/>
    <mergeCell ref="B4:H4"/>
    <mergeCell ref="B5:H5"/>
    <mergeCell ref="B6:H6"/>
  </mergeCells>
  <printOptions horizontalCentered="1"/>
  <pageMargins left="0.5" right="0.5" top="0.5" bottom="0.5" header="0.25" footer="0.25"/>
  <pageSetup scale="62" orientation="landscape" r:id="rId1"/>
  <headerFooter scaleWithDoc="0">
    <oddFooter>&amp;C&amp;"Times New Roman,Regular"&amp;10&amp;A</oddFooter>
  </headerFooter>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174"/>
  <sheetViews>
    <sheetView zoomScale="80" zoomScaleNormal="80" workbookViewId="0">
      <selection activeCell="Q30" sqref="Q30"/>
    </sheetView>
  </sheetViews>
  <sheetFormatPr defaultColWidth="9.28515625" defaultRowHeight="15.75" x14ac:dyDescent="0.25"/>
  <cols>
    <col min="1" max="1" width="5.28515625" style="4" customWidth="1"/>
    <col min="2" max="2" width="11.28515625" style="31" customWidth="1"/>
    <col min="3" max="3" width="32.42578125" style="31" customWidth="1"/>
    <col min="4" max="11" width="18.5703125" style="6" customWidth="1"/>
    <col min="12" max="12" width="24" style="6" customWidth="1"/>
    <col min="13" max="14" width="5.28515625" style="4" customWidth="1"/>
    <col min="15" max="15" width="14.42578125" style="31" bestFit="1" customWidth="1"/>
    <col min="16" max="16384" width="9.28515625" style="31"/>
  </cols>
  <sheetData>
    <row r="1" spans="1:14" x14ac:dyDescent="0.25">
      <c r="M1" s="217"/>
      <c r="N1" s="217"/>
    </row>
    <row r="2" spans="1:14" s="1" customFormat="1" ht="15.75" customHeight="1" x14ac:dyDescent="0.25">
      <c r="A2" s="217"/>
      <c r="B2" s="1316" t="s">
        <v>0</v>
      </c>
      <c r="C2" s="1316"/>
      <c r="D2" s="1316"/>
      <c r="E2" s="1316"/>
      <c r="F2" s="1316"/>
      <c r="G2" s="1316"/>
      <c r="H2" s="1316"/>
      <c r="I2" s="1316"/>
      <c r="J2" s="1316"/>
      <c r="K2" s="1316"/>
      <c r="L2" s="1316"/>
      <c r="M2" s="217"/>
      <c r="N2" s="217"/>
    </row>
    <row r="3" spans="1:14" s="1" customFormat="1" x14ac:dyDescent="0.25">
      <c r="A3" s="217"/>
      <c r="B3" s="1316" t="s">
        <v>296</v>
      </c>
      <c r="C3" s="1316"/>
      <c r="D3" s="1316"/>
      <c r="E3" s="1316"/>
      <c r="F3" s="1316"/>
      <c r="G3" s="1316"/>
      <c r="H3" s="1316"/>
      <c r="I3" s="1316"/>
      <c r="J3" s="1316"/>
      <c r="K3" s="1316"/>
      <c r="L3" s="1316"/>
      <c r="M3" s="217"/>
      <c r="N3" s="217"/>
    </row>
    <row r="4" spans="1:14" x14ac:dyDescent="0.25">
      <c r="B4" s="1316" t="s">
        <v>381</v>
      </c>
      <c r="C4" s="1316"/>
      <c r="D4" s="1316"/>
      <c r="E4" s="1316"/>
      <c r="F4" s="1316"/>
      <c r="G4" s="1316"/>
      <c r="H4" s="1316"/>
      <c r="I4" s="1316"/>
      <c r="J4" s="1316"/>
      <c r="K4" s="1316"/>
      <c r="L4" s="1316"/>
    </row>
    <row r="5" spans="1:14" x14ac:dyDescent="0.25">
      <c r="B5" s="1316" t="s">
        <v>377</v>
      </c>
      <c r="C5" s="1316"/>
      <c r="D5" s="1316"/>
      <c r="E5" s="1316"/>
      <c r="F5" s="1316"/>
      <c r="G5" s="1316"/>
      <c r="H5" s="1316"/>
      <c r="I5" s="1316"/>
      <c r="J5" s="1316"/>
      <c r="K5" s="1316"/>
      <c r="L5" s="1316"/>
    </row>
    <row r="6" spans="1:14" x14ac:dyDescent="0.25">
      <c r="B6" s="1316" t="str">
        <f>'AD-6A'!B5</f>
        <v>BALANCES AS OF 12/31/2024</v>
      </c>
      <c r="C6" s="1316"/>
      <c r="D6" s="1316"/>
      <c r="E6" s="1316"/>
      <c r="F6" s="1316"/>
      <c r="G6" s="1316"/>
      <c r="H6" s="1316"/>
      <c r="I6" s="1316"/>
      <c r="J6" s="1316"/>
      <c r="K6" s="1316"/>
      <c r="L6" s="1316"/>
    </row>
    <row r="7" spans="1:14" x14ac:dyDescent="0.25">
      <c r="B7" s="1312" t="s">
        <v>4</v>
      </c>
      <c r="C7" s="1316"/>
      <c r="D7" s="1316"/>
      <c r="E7" s="1316"/>
      <c r="F7" s="1316"/>
      <c r="G7" s="1316"/>
      <c r="H7" s="1316"/>
      <c r="I7" s="1316"/>
      <c r="J7" s="1316"/>
      <c r="K7" s="1316"/>
      <c r="L7" s="1316"/>
    </row>
    <row r="8" spans="1:14" x14ac:dyDescent="0.25">
      <c r="C8" s="266"/>
      <c r="D8" s="267"/>
      <c r="E8" s="293"/>
      <c r="F8" s="293"/>
      <c r="G8" s="293"/>
      <c r="H8" s="293"/>
      <c r="I8" s="293"/>
      <c r="J8" s="293"/>
      <c r="K8" s="293"/>
      <c r="L8" s="293"/>
    </row>
    <row r="9" spans="1:14" s="217" customFormat="1" x14ac:dyDescent="0.25">
      <c r="B9" s="962"/>
      <c r="C9" s="943"/>
      <c r="D9" s="944" t="s">
        <v>298</v>
      </c>
      <c r="E9" s="944" t="s">
        <v>299</v>
      </c>
      <c r="F9" s="944" t="s">
        <v>300</v>
      </c>
      <c r="G9" s="944" t="s">
        <v>301</v>
      </c>
      <c r="H9" s="944" t="s">
        <v>302</v>
      </c>
      <c r="I9" s="944" t="s">
        <v>303</v>
      </c>
      <c r="J9" s="944" t="s">
        <v>304</v>
      </c>
      <c r="K9" s="944" t="s">
        <v>305</v>
      </c>
      <c r="L9" s="925"/>
      <c r="M9" s="217" t="s">
        <v>1</v>
      </c>
    </row>
    <row r="10" spans="1:14" x14ac:dyDescent="0.25">
      <c r="B10" s="970"/>
      <c r="C10" s="926"/>
      <c r="D10" s="294"/>
      <c r="E10" s="294"/>
      <c r="F10" s="298"/>
      <c r="G10" s="294"/>
      <c r="H10" s="294"/>
      <c r="I10" s="294"/>
      <c r="J10" s="294"/>
      <c r="K10" s="294" t="s">
        <v>180</v>
      </c>
      <c r="L10" s="945"/>
      <c r="M10" s="4" t="s">
        <v>1</v>
      </c>
    </row>
    <row r="11" spans="1:14" x14ac:dyDescent="0.25">
      <c r="B11" s="970"/>
      <c r="C11" s="926"/>
      <c r="D11" s="294"/>
      <c r="E11" s="294" t="s">
        <v>306</v>
      </c>
      <c r="F11" s="298" t="s">
        <v>290</v>
      </c>
      <c r="G11" s="294" t="s">
        <v>295</v>
      </c>
      <c r="H11" s="294" t="s">
        <v>295</v>
      </c>
      <c r="I11" s="294" t="s">
        <v>295</v>
      </c>
      <c r="J11" s="294" t="s">
        <v>295</v>
      </c>
      <c r="K11" s="294" t="s">
        <v>295</v>
      </c>
      <c r="L11" s="932"/>
      <c r="M11" s="4" t="s">
        <v>1</v>
      </c>
    </row>
    <row r="12" spans="1:14" x14ac:dyDescent="0.25">
      <c r="B12" s="331"/>
      <c r="C12" s="233"/>
      <c r="D12" s="298" t="s">
        <v>180</v>
      </c>
      <c r="E12" s="294" t="s">
        <v>382</v>
      </c>
      <c r="F12" s="294" t="s">
        <v>382</v>
      </c>
      <c r="G12" s="294" t="s">
        <v>382</v>
      </c>
      <c r="H12" s="294" t="s">
        <v>382</v>
      </c>
      <c r="I12" s="294" t="s">
        <v>382</v>
      </c>
      <c r="J12" s="294" t="s">
        <v>382</v>
      </c>
      <c r="K12" s="294" t="s">
        <v>378</v>
      </c>
      <c r="L12" s="269"/>
    </row>
    <row r="13" spans="1:14" x14ac:dyDescent="0.25">
      <c r="A13" s="4" t="s">
        <v>5</v>
      </c>
      <c r="B13" s="318"/>
      <c r="C13" s="277"/>
      <c r="D13" s="298" t="s">
        <v>295</v>
      </c>
      <c r="E13" s="294" t="s">
        <v>383</v>
      </c>
      <c r="F13" s="294" t="s">
        <v>383</v>
      </c>
      <c r="G13" s="294" t="s">
        <v>383</v>
      </c>
      <c r="H13" s="294" t="s">
        <v>383</v>
      </c>
      <c r="I13" s="294" t="s">
        <v>383</v>
      </c>
      <c r="J13" s="294" t="s">
        <v>383</v>
      </c>
      <c r="K13" s="294" t="s">
        <v>337</v>
      </c>
      <c r="L13" s="269"/>
      <c r="M13" s="4" t="s">
        <v>5</v>
      </c>
    </row>
    <row r="14" spans="1:14" x14ac:dyDescent="0.25">
      <c r="A14" s="4" t="s">
        <v>6</v>
      </c>
      <c r="B14" s="305" t="s">
        <v>310</v>
      </c>
      <c r="C14" s="274" t="s">
        <v>311</v>
      </c>
      <c r="D14" s="306" t="s">
        <v>382</v>
      </c>
      <c r="E14" s="300" t="s">
        <v>312</v>
      </c>
      <c r="F14" s="300" t="s">
        <v>313</v>
      </c>
      <c r="G14" s="300" t="s">
        <v>384</v>
      </c>
      <c r="H14" s="300" t="s">
        <v>385</v>
      </c>
      <c r="I14" s="300" t="s">
        <v>386</v>
      </c>
      <c r="J14" s="300" t="s">
        <v>316</v>
      </c>
      <c r="K14" s="274" t="s">
        <v>317</v>
      </c>
      <c r="L14" s="274" t="s">
        <v>8</v>
      </c>
      <c r="M14" s="4" t="s">
        <v>6</v>
      </c>
    </row>
    <row r="15" spans="1:14" x14ac:dyDescent="0.25">
      <c r="B15" s="233"/>
      <c r="C15" s="233" t="s">
        <v>318</v>
      </c>
      <c r="D15" s="233"/>
      <c r="E15" s="233"/>
      <c r="F15" s="233"/>
      <c r="G15" s="233"/>
      <c r="H15" s="233"/>
      <c r="I15" s="233"/>
      <c r="J15" s="233"/>
      <c r="K15" s="233"/>
      <c r="L15" s="932"/>
    </row>
    <row r="16" spans="1:14" x14ac:dyDescent="0.25">
      <c r="A16" s="4">
        <v>1</v>
      </c>
      <c r="B16" s="947">
        <v>303</v>
      </c>
      <c r="C16" s="233" t="s">
        <v>319</v>
      </c>
      <c r="D16" s="231">
        <v>0</v>
      </c>
      <c r="E16" s="231">
        <v>0</v>
      </c>
      <c r="F16" s="231">
        <v>0</v>
      </c>
      <c r="G16" s="231">
        <v>0</v>
      </c>
      <c r="H16" s="231">
        <v>0</v>
      </c>
      <c r="I16" s="231">
        <v>0</v>
      </c>
      <c r="J16" s="231">
        <v>0</v>
      </c>
      <c r="K16" s="231">
        <f>SUM(D16:J16)</f>
        <v>0</v>
      </c>
      <c r="L16" s="932" t="s">
        <v>263</v>
      </c>
      <c r="M16" s="4">
        <f>A16</f>
        <v>1</v>
      </c>
    </row>
    <row r="17" spans="1:17" x14ac:dyDescent="0.25">
      <c r="A17" s="4">
        <f>A16+1</f>
        <v>2</v>
      </c>
      <c r="B17" s="932">
        <v>310.10000000000002</v>
      </c>
      <c r="C17" s="233" t="s">
        <v>320</v>
      </c>
      <c r="D17" s="232">
        <v>0</v>
      </c>
      <c r="E17" s="232">
        <v>0</v>
      </c>
      <c r="F17" s="232">
        <v>0</v>
      </c>
      <c r="G17" s="232">
        <v>0</v>
      </c>
      <c r="H17" s="232">
        <v>0</v>
      </c>
      <c r="I17" s="232">
        <v>0</v>
      </c>
      <c r="J17" s="232">
        <v>0</v>
      </c>
      <c r="K17" s="232">
        <f>SUM(D17:J17)</f>
        <v>0</v>
      </c>
      <c r="L17" s="932" t="s">
        <v>263</v>
      </c>
      <c r="M17" s="4">
        <f>M16+1</f>
        <v>2</v>
      </c>
    </row>
    <row r="18" spans="1:17" x14ac:dyDescent="0.25">
      <c r="A18" s="4">
        <f t="shared" ref="A18:A39" si="0">A17+1</f>
        <v>3</v>
      </c>
      <c r="B18" s="947">
        <v>340</v>
      </c>
      <c r="C18" s="948" t="s">
        <v>321</v>
      </c>
      <c r="D18" s="232">
        <v>0</v>
      </c>
      <c r="E18" s="232">
        <v>1.0564053960000002</v>
      </c>
      <c r="F18" s="232">
        <v>0</v>
      </c>
      <c r="G18" s="232">
        <v>0</v>
      </c>
      <c r="H18" s="232">
        <v>0</v>
      </c>
      <c r="I18" s="232">
        <v>0</v>
      </c>
      <c r="J18" s="232">
        <v>0</v>
      </c>
      <c r="K18" s="232">
        <f>SUM(D18:J18)</f>
        <v>1.0564053960000002</v>
      </c>
      <c r="L18" s="932" t="s">
        <v>263</v>
      </c>
      <c r="M18" s="4">
        <f t="shared" ref="M18:M39" si="1">M17+1</f>
        <v>3</v>
      </c>
    </row>
    <row r="19" spans="1:17" x14ac:dyDescent="0.25">
      <c r="A19" s="4">
        <f t="shared" si="0"/>
        <v>4</v>
      </c>
      <c r="B19" s="947">
        <v>360</v>
      </c>
      <c r="C19" s="948" t="s">
        <v>321</v>
      </c>
      <c r="D19" s="232">
        <v>0</v>
      </c>
      <c r="E19" s="232">
        <v>0</v>
      </c>
      <c r="F19" s="232">
        <v>46.146360000000001</v>
      </c>
      <c r="G19" s="232">
        <v>0</v>
      </c>
      <c r="H19" s="232">
        <v>0</v>
      </c>
      <c r="I19" s="232">
        <v>0</v>
      </c>
      <c r="J19" s="232">
        <v>0</v>
      </c>
      <c r="K19" s="232">
        <f>SUM(D19:J19)</f>
        <v>46.146360000000001</v>
      </c>
      <c r="L19" s="932" t="s">
        <v>263</v>
      </c>
      <c r="M19" s="4">
        <f t="shared" si="1"/>
        <v>4</v>
      </c>
    </row>
    <row r="20" spans="1:17" x14ac:dyDescent="0.25">
      <c r="A20" s="4">
        <f t="shared" si="0"/>
        <v>5</v>
      </c>
      <c r="B20" s="947">
        <v>361</v>
      </c>
      <c r="C20" s="233" t="s">
        <v>322</v>
      </c>
      <c r="D20" s="232">
        <v>0</v>
      </c>
      <c r="E20" s="232">
        <v>0</v>
      </c>
      <c r="F20" s="232">
        <v>839.17028317790084</v>
      </c>
      <c r="G20" s="232">
        <v>0</v>
      </c>
      <c r="H20" s="232">
        <v>0</v>
      </c>
      <c r="I20" s="232">
        <v>0</v>
      </c>
      <c r="J20" s="232">
        <v>0</v>
      </c>
      <c r="K20" s="232">
        <f>SUM(D20:J20)</f>
        <v>839.17028317790084</v>
      </c>
      <c r="L20" s="932" t="s">
        <v>263</v>
      </c>
      <c r="M20" s="4">
        <f t="shared" si="1"/>
        <v>5</v>
      </c>
    </row>
    <row r="21" spans="1:17" x14ac:dyDescent="0.25">
      <c r="A21" s="4">
        <f t="shared" si="0"/>
        <v>6</v>
      </c>
      <c r="B21" s="932"/>
      <c r="C21" s="233"/>
      <c r="D21" s="233"/>
      <c r="E21" s="233"/>
      <c r="F21" s="233"/>
      <c r="G21" s="233"/>
      <c r="H21" s="233"/>
      <c r="I21" s="233"/>
      <c r="J21" s="233"/>
      <c r="K21" s="232"/>
      <c r="L21" s="932"/>
      <c r="M21" s="4">
        <f t="shared" si="1"/>
        <v>6</v>
      </c>
    </row>
    <row r="22" spans="1:17" s="1" customFormat="1" x14ac:dyDescent="0.25">
      <c r="A22" s="4">
        <f t="shared" si="0"/>
        <v>7</v>
      </c>
      <c r="B22" s="949" t="s">
        <v>323</v>
      </c>
      <c r="C22" s="950" t="s">
        <v>324</v>
      </c>
      <c r="D22" s="951">
        <f>SUM(D16:D21)</f>
        <v>0</v>
      </c>
      <c r="E22" s="951">
        <f t="shared" ref="E22" si="2">SUM(E16:E21)</f>
        <v>1.0564053960000002</v>
      </c>
      <c r="F22" s="951">
        <f t="shared" ref="F22" si="3">SUM(F16:F21)</f>
        <v>885.3166431779008</v>
      </c>
      <c r="G22" s="951">
        <f t="shared" ref="G22" si="4">SUM(G16:G21)</f>
        <v>0</v>
      </c>
      <c r="H22" s="951">
        <f t="shared" ref="H22" si="5">SUM(H16:H21)</f>
        <v>0</v>
      </c>
      <c r="I22" s="951">
        <f t="shared" ref="I22" si="6">SUM(I16:I21)</f>
        <v>0</v>
      </c>
      <c r="J22" s="951">
        <f>SUM(J16:J21)</f>
        <v>0</v>
      </c>
      <c r="K22" s="951">
        <f>SUM(K16:K21)</f>
        <v>886.37304857390086</v>
      </c>
      <c r="L22" s="952" t="s">
        <v>14</v>
      </c>
      <c r="M22" s="4">
        <f t="shared" si="1"/>
        <v>7</v>
      </c>
      <c r="N22" s="4"/>
    </row>
    <row r="23" spans="1:17" x14ac:dyDescent="0.25">
      <c r="A23" s="4">
        <f t="shared" si="0"/>
        <v>8</v>
      </c>
      <c r="B23" s="932"/>
      <c r="C23" s="233"/>
      <c r="D23" s="232"/>
      <c r="E23" s="232"/>
      <c r="F23" s="232"/>
      <c r="G23" s="232"/>
      <c r="H23" s="232"/>
      <c r="I23" s="232"/>
      <c r="J23" s="232"/>
      <c r="K23" s="234"/>
      <c r="L23" s="932"/>
      <c r="M23" s="4">
        <f t="shared" si="1"/>
        <v>8</v>
      </c>
    </row>
    <row r="24" spans="1:17" x14ac:dyDescent="0.25">
      <c r="A24" s="4">
        <f t="shared" si="0"/>
        <v>9</v>
      </c>
      <c r="B24" s="947">
        <v>350</v>
      </c>
      <c r="C24" s="233" t="s">
        <v>321</v>
      </c>
      <c r="D24" s="231">
        <v>36274.456230000011</v>
      </c>
      <c r="E24" s="231">
        <v>0</v>
      </c>
      <c r="F24" s="231">
        <v>0</v>
      </c>
      <c r="G24" s="231">
        <v>0</v>
      </c>
      <c r="H24" s="231">
        <v>0</v>
      </c>
      <c r="I24" s="231">
        <v>0</v>
      </c>
      <c r="J24" s="231">
        <v>-410.48312322399994</v>
      </c>
      <c r="K24" s="231">
        <f t="shared" ref="K24:K35" si="7">SUM(D24:J24)</f>
        <v>35863.973106776008</v>
      </c>
      <c r="L24" s="932" t="s">
        <v>263</v>
      </c>
      <c r="M24" s="4">
        <f t="shared" si="1"/>
        <v>9</v>
      </c>
    </row>
    <row r="25" spans="1:17" x14ac:dyDescent="0.25">
      <c r="A25" s="4">
        <f t="shared" si="0"/>
        <v>10</v>
      </c>
      <c r="B25" s="947">
        <v>351.1</v>
      </c>
      <c r="C25" s="233" t="s">
        <v>1492</v>
      </c>
      <c r="D25" s="232">
        <v>0</v>
      </c>
      <c r="E25" s="232">
        <v>0</v>
      </c>
      <c r="F25" s="232">
        <v>0</v>
      </c>
      <c r="G25" s="232">
        <v>0</v>
      </c>
      <c r="H25" s="232">
        <v>0</v>
      </c>
      <c r="I25" s="232">
        <v>0</v>
      </c>
      <c r="J25" s="232">
        <v>0</v>
      </c>
      <c r="K25" s="232">
        <f t="shared" si="7"/>
        <v>0</v>
      </c>
      <c r="L25" s="932" t="s">
        <v>263</v>
      </c>
      <c r="M25" s="4">
        <f t="shared" si="1"/>
        <v>10</v>
      </c>
    </row>
    <row r="26" spans="1:17" x14ac:dyDescent="0.25">
      <c r="A26" s="4">
        <f t="shared" si="0"/>
        <v>11</v>
      </c>
      <c r="B26" s="947">
        <v>351.2</v>
      </c>
      <c r="C26" s="233" t="s">
        <v>1493</v>
      </c>
      <c r="D26" s="232">
        <v>720.5829</v>
      </c>
      <c r="E26" s="232">
        <v>0</v>
      </c>
      <c r="F26" s="232">
        <v>0</v>
      </c>
      <c r="G26" s="232">
        <v>0</v>
      </c>
      <c r="H26" s="232">
        <v>0</v>
      </c>
      <c r="I26" s="232">
        <v>0</v>
      </c>
      <c r="J26" s="232">
        <v>0</v>
      </c>
      <c r="K26" s="232">
        <f t="shared" si="7"/>
        <v>720.5829</v>
      </c>
      <c r="L26" s="932" t="s">
        <v>263</v>
      </c>
      <c r="M26" s="4">
        <f t="shared" si="1"/>
        <v>11</v>
      </c>
    </row>
    <row r="27" spans="1:17" x14ac:dyDescent="0.25">
      <c r="A27" s="4">
        <f t="shared" si="0"/>
        <v>12</v>
      </c>
      <c r="B27" s="947">
        <v>351.3</v>
      </c>
      <c r="C27" s="233" t="s">
        <v>1494</v>
      </c>
      <c r="D27" s="232">
        <v>90305.31813</v>
      </c>
      <c r="E27" s="232">
        <v>0</v>
      </c>
      <c r="F27" s="232">
        <v>0</v>
      </c>
      <c r="G27" s="232">
        <v>0</v>
      </c>
      <c r="H27" s="232">
        <v>0</v>
      </c>
      <c r="I27" s="232">
        <v>0</v>
      </c>
      <c r="J27" s="232">
        <v>0</v>
      </c>
      <c r="K27" s="232">
        <f t="shared" si="7"/>
        <v>90305.31813</v>
      </c>
      <c r="L27" s="932" t="s">
        <v>263</v>
      </c>
      <c r="M27" s="4">
        <f t="shared" si="1"/>
        <v>12</v>
      </c>
    </row>
    <row r="28" spans="1:17" x14ac:dyDescent="0.25">
      <c r="A28" s="4">
        <f t="shared" si="0"/>
        <v>13</v>
      </c>
      <c r="B28" s="947">
        <v>352</v>
      </c>
      <c r="C28" s="233" t="s">
        <v>322</v>
      </c>
      <c r="D28" s="232">
        <v>178324.02061480677</v>
      </c>
      <c r="E28" s="232">
        <v>0</v>
      </c>
      <c r="F28" s="232">
        <v>0</v>
      </c>
      <c r="G28" s="232">
        <v>-659.50825065986305</v>
      </c>
      <c r="H28" s="232">
        <v>0</v>
      </c>
      <c r="I28" s="232">
        <v>0</v>
      </c>
      <c r="J28" s="232">
        <v>-29862.490541050898</v>
      </c>
      <c r="K28" s="232">
        <f t="shared" si="7"/>
        <v>147802.021823096</v>
      </c>
      <c r="L28" s="932" t="s">
        <v>263</v>
      </c>
      <c r="M28" s="4">
        <f t="shared" si="1"/>
        <v>13</v>
      </c>
      <c r="N28" s="357"/>
      <c r="O28" s="2"/>
      <c r="Q28" s="6"/>
    </row>
    <row r="29" spans="1:17" x14ac:dyDescent="0.25">
      <c r="A29" s="4">
        <f t="shared" si="0"/>
        <v>14</v>
      </c>
      <c r="B29" s="947">
        <v>353</v>
      </c>
      <c r="C29" s="233" t="s">
        <v>325</v>
      </c>
      <c r="D29" s="232">
        <v>752738.61487165361</v>
      </c>
      <c r="E29" s="232">
        <v>0</v>
      </c>
      <c r="F29" s="232">
        <v>0</v>
      </c>
      <c r="G29" s="232">
        <v>-4722.7438212161023</v>
      </c>
      <c r="H29" s="232">
        <v>-700.2994833064505</v>
      </c>
      <c r="I29" s="232">
        <v>0</v>
      </c>
      <c r="J29" s="232">
        <v>-1893.5235277366114</v>
      </c>
      <c r="K29" s="232">
        <f t="shared" si="7"/>
        <v>745422.04803939443</v>
      </c>
      <c r="L29" s="932" t="s">
        <v>263</v>
      </c>
      <c r="M29" s="4">
        <f t="shared" si="1"/>
        <v>14</v>
      </c>
      <c r="N29" s="357"/>
    </row>
    <row r="30" spans="1:17" x14ac:dyDescent="0.25">
      <c r="A30" s="4">
        <f t="shared" si="0"/>
        <v>15</v>
      </c>
      <c r="B30" s="947">
        <v>354</v>
      </c>
      <c r="C30" s="233" t="s">
        <v>326</v>
      </c>
      <c r="D30" s="232">
        <v>324372.83088741446</v>
      </c>
      <c r="E30" s="232">
        <v>0</v>
      </c>
      <c r="F30" s="232">
        <v>0</v>
      </c>
      <c r="G30" s="232">
        <v>0</v>
      </c>
      <c r="H30" s="232">
        <v>0</v>
      </c>
      <c r="I30" s="232">
        <v>0</v>
      </c>
      <c r="J30" s="232">
        <v>0</v>
      </c>
      <c r="K30" s="232">
        <f t="shared" si="7"/>
        <v>324372.83088741446</v>
      </c>
      <c r="L30" s="932" t="s">
        <v>263</v>
      </c>
      <c r="M30" s="4">
        <f t="shared" si="1"/>
        <v>15</v>
      </c>
      <c r="N30" s="357"/>
    </row>
    <row r="31" spans="1:17" x14ac:dyDescent="0.25">
      <c r="A31" s="4">
        <f t="shared" si="0"/>
        <v>16</v>
      </c>
      <c r="B31" s="947">
        <v>355</v>
      </c>
      <c r="C31" s="233" t="s">
        <v>327</v>
      </c>
      <c r="D31" s="232">
        <v>288650.16743105889</v>
      </c>
      <c r="E31" s="232">
        <v>0</v>
      </c>
      <c r="F31" s="232">
        <v>0</v>
      </c>
      <c r="G31" s="232">
        <v>0</v>
      </c>
      <c r="H31" s="232">
        <v>0</v>
      </c>
      <c r="I31" s="232">
        <v>0</v>
      </c>
      <c r="J31" s="232">
        <v>0</v>
      </c>
      <c r="K31" s="232">
        <f t="shared" si="7"/>
        <v>288650.16743105889</v>
      </c>
      <c r="L31" s="932" t="s">
        <v>263</v>
      </c>
      <c r="M31" s="4">
        <f t="shared" si="1"/>
        <v>16</v>
      </c>
      <c r="N31" s="357"/>
    </row>
    <row r="32" spans="1:17" x14ac:dyDescent="0.25">
      <c r="A32" s="4">
        <f t="shared" si="0"/>
        <v>17</v>
      </c>
      <c r="B32" s="947">
        <v>356</v>
      </c>
      <c r="C32" s="233" t="s">
        <v>328</v>
      </c>
      <c r="D32" s="232">
        <v>333958.44247796043</v>
      </c>
      <c r="E32" s="232">
        <v>0</v>
      </c>
      <c r="F32" s="232">
        <v>0</v>
      </c>
      <c r="G32" s="232">
        <v>0</v>
      </c>
      <c r="H32" s="232">
        <v>0</v>
      </c>
      <c r="I32" s="232">
        <v>0</v>
      </c>
      <c r="J32" s="232">
        <v>0</v>
      </c>
      <c r="K32" s="232">
        <f t="shared" si="7"/>
        <v>333958.44247796043</v>
      </c>
      <c r="L32" s="932" t="s">
        <v>263</v>
      </c>
      <c r="M32" s="4">
        <f t="shared" si="1"/>
        <v>17</v>
      </c>
      <c r="N32" s="357"/>
    </row>
    <row r="33" spans="1:18" x14ac:dyDescent="0.25">
      <c r="A33" s="4">
        <f t="shared" si="0"/>
        <v>18</v>
      </c>
      <c r="B33" s="947">
        <v>357</v>
      </c>
      <c r="C33" s="233" t="s">
        <v>329</v>
      </c>
      <c r="D33" s="232">
        <v>143340.16675411462</v>
      </c>
      <c r="E33" s="232">
        <v>0</v>
      </c>
      <c r="F33" s="232">
        <v>0</v>
      </c>
      <c r="G33" s="232">
        <v>0</v>
      </c>
      <c r="H33" s="232">
        <v>0</v>
      </c>
      <c r="I33" s="232">
        <v>0</v>
      </c>
      <c r="J33" s="232">
        <v>0</v>
      </c>
      <c r="K33" s="232">
        <f t="shared" si="7"/>
        <v>143340.16675411462</v>
      </c>
      <c r="L33" s="932" t="s">
        <v>263</v>
      </c>
      <c r="M33" s="4">
        <f t="shared" si="1"/>
        <v>18</v>
      </c>
      <c r="N33" s="357"/>
    </row>
    <row r="34" spans="1:18" x14ac:dyDescent="0.25">
      <c r="A34" s="4">
        <f t="shared" si="0"/>
        <v>19</v>
      </c>
      <c r="B34" s="947">
        <v>358</v>
      </c>
      <c r="C34" s="233" t="s">
        <v>330</v>
      </c>
      <c r="D34" s="232">
        <v>141553.04869849575</v>
      </c>
      <c r="E34" s="232">
        <v>0</v>
      </c>
      <c r="F34" s="232">
        <v>0</v>
      </c>
      <c r="G34" s="232">
        <v>-688.163385937307</v>
      </c>
      <c r="H34" s="232">
        <v>0</v>
      </c>
      <c r="I34" s="232">
        <v>0</v>
      </c>
      <c r="J34" s="232">
        <v>0</v>
      </c>
      <c r="K34" s="232">
        <f t="shared" si="7"/>
        <v>140864.88531255844</v>
      </c>
      <c r="L34" s="932" t="s">
        <v>263</v>
      </c>
      <c r="M34" s="4">
        <f t="shared" si="1"/>
        <v>19</v>
      </c>
      <c r="N34" s="357"/>
    </row>
    <row r="35" spans="1:18" x14ac:dyDescent="0.25">
      <c r="A35" s="4">
        <f t="shared" si="0"/>
        <v>20</v>
      </c>
      <c r="B35" s="947">
        <v>359</v>
      </c>
      <c r="C35" s="233" t="s">
        <v>331</v>
      </c>
      <c r="D35" s="232">
        <v>74730.143860848679</v>
      </c>
      <c r="E35" s="232">
        <v>0</v>
      </c>
      <c r="F35" s="232">
        <v>0</v>
      </c>
      <c r="G35" s="232">
        <v>0</v>
      </c>
      <c r="H35" s="232">
        <v>0</v>
      </c>
      <c r="I35" s="232">
        <v>0</v>
      </c>
      <c r="J35" s="232">
        <v>0</v>
      </c>
      <c r="K35" s="232">
        <f t="shared" si="7"/>
        <v>74730.143860848679</v>
      </c>
      <c r="L35" s="932" t="s">
        <v>263</v>
      </c>
      <c r="M35" s="4">
        <f t="shared" si="1"/>
        <v>20</v>
      </c>
      <c r="N35" s="357"/>
    </row>
    <row r="36" spans="1:18" x14ac:dyDescent="0.25">
      <c r="A36" s="4">
        <f t="shared" si="0"/>
        <v>21</v>
      </c>
      <c r="B36" s="971"/>
      <c r="C36" s="233"/>
      <c r="D36" s="232"/>
      <c r="F36" s="93"/>
      <c r="G36" s="93"/>
      <c r="H36" s="93"/>
      <c r="I36" s="93"/>
      <c r="J36" s="232"/>
      <c r="K36" s="93"/>
      <c r="L36" s="947"/>
      <c r="M36" s="4">
        <f t="shared" si="1"/>
        <v>21</v>
      </c>
      <c r="N36" s="357"/>
    </row>
    <row r="37" spans="1:18" x14ac:dyDescent="0.25">
      <c r="A37" s="4">
        <f t="shared" si="0"/>
        <v>22</v>
      </c>
      <c r="B37" s="955" t="s">
        <v>323</v>
      </c>
      <c r="C37" s="950" t="s">
        <v>294</v>
      </c>
      <c r="D37" s="951">
        <f t="shared" ref="D37:K37" si="8">SUM(D24:D36)</f>
        <v>2364967.7928563529</v>
      </c>
      <c r="E37" s="951">
        <f t="shared" si="8"/>
        <v>0</v>
      </c>
      <c r="F37" s="951">
        <f t="shared" si="8"/>
        <v>0</v>
      </c>
      <c r="G37" s="951">
        <f t="shared" si="8"/>
        <v>-6070.415457813272</v>
      </c>
      <c r="H37" s="951">
        <f t="shared" si="8"/>
        <v>-700.2994833064505</v>
      </c>
      <c r="I37" s="951">
        <f t="shared" si="8"/>
        <v>0</v>
      </c>
      <c r="J37" s="951">
        <f t="shared" si="8"/>
        <v>-32166.497192011509</v>
      </c>
      <c r="K37" s="951">
        <f t="shared" si="8"/>
        <v>2326030.5807232219</v>
      </c>
      <c r="L37" s="956" t="s">
        <v>1503</v>
      </c>
      <c r="M37" s="4">
        <f t="shared" si="1"/>
        <v>22</v>
      </c>
      <c r="N37" s="357"/>
    </row>
    <row r="38" spans="1:18" x14ac:dyDescent="0.25">
      <c r="A38" s="4">
        <f t="shared" si="0"/>
        <v>23</v>
      </c>
      <c r="B38" s="331"/>
      <c r="D38" s="31"/>
      <c r="L38" s="301"/>
      <c r="M38" s="4">
        <f t="shared" si="1"/>
        <v>23</v>
      </c>
      <c r="N38" s="357"/>
    </row>
    <row r="39" spans="1:18" x14ac:dyDescent="0.25">
      <c r="A39" s="4">
        <f t="shared" si="0"/>
        <v>24</v>
      </c>
      <c r="B39" s="332" t="s">
        <v>332</v>
      </c>
      <c r="C39" s="957"/>
      <c r="D39" s="575">
        <f t="shared" ref="D39:K39" si="9">D37+D22</f>
        <v>2364967.7928563529</v>
      </c>
      <c r="E39" s="575">
        <f t="shared" si="9"/>
        <v>1.0564053960000002</v>
      </c>
      <c r="F39" s="575">
        <f t="shared" si="9"/>
        <v>885.3166431779008</v>
      </c>
      <c r="G39" s="575">
        <f t="shared" si="9"/>
        <v>-6070.415457813272</v>
      </c>
      <c r="H39" s="575">
        <f t="shared" si="9"/>
        <v>-700.2994833064505</v>
      </c>
      <c r="I39" s="575">
        <f t="shared" si="9"/>
        <v>0</v>
      </c>
      <c r="J39" s="63">
        <f t="shared" si="9"/>
        <v>-32166.497192011509</v>
      </c>
      <c r="K39" s="575">
        <f t="shared" si="9"/>
        <v>2326916.9537717956</v>
      </c>
      <c r="L39" s="952" t="s">
        <v>1504</v>
      </c>
      <c r="M39" s="4">
        <f t="shared" si="1"/>
        <v>24</v>
      </c>
      <c r="N39" s="357"/>
      <c r="O39"/>
      <c r="P39"/>
      <c r="Q39"/>
      <c r="R39"/>
    </row>
    <row r="40" spans="1:18" x14ac:dyDescent="0.25">
      <c r="D40" s="31"/>
      <c r="K40" s="333"/>
      <c r="L40" s="333"/>
    </row>
    <row r="41" spans="1:18" x14ac:dyDescent="0.25">
      <c r="D41" s="31"/>
      <c r="K41" s="333"/>
      <c r="L41" s="333"/>
    </row>
    <row r="42" spans="1:18" x14ac:dyDescent="0.25">
      <c r="B42" s="31" t="s">
        <v>387</v>
      </c>
      <c r="D42" s="31"/>
    </row>
    <row r="43" spans="1:18" x14ac:dyDescent="0.25">
      <c r="D43" s="31"/>
    </row>
    <row r="44" spans="1:18" x14ac:dyDescent="0.25">
      <c r="D44" s="31"/>
    </row>
    <row r="45" spans="1:18" x14ac:dyDescent="0.25">
      <c r="D45" s="31"/>
    </row>
    <row r="46" spans="1:18" x14ac:dyDescent="0.25">
      <c r="D46" s="31"/>
    </row>
    <row r="47" spans="1:18" x14ac:dyDescent="0.25">
      <c r="D47" s="31"/>
    </row>
    <row r="48" spans="1:18" x14ac:dyDescent="0.25">
      <c r="D48" s="31"/>
    </row>
    <row r="49" spans="4:4" x14ac:dyDescent="0.25">
      <c r="D49" s="31"/>
    </row>
    <row r="50" spans="4:4" x14ac:dyDescent="0.25">
      <c r="D50" s="31"/>
    </row>
    <row r="51" spans="4:4" x14ac:dyDescent="0.25">
      <c r="D51" s="31"/>
    </row>
    <row r="52" spans="4:4" x14ac:dyDescent="0.25">
      <c r="D52" s="31"/>
    </row>
    <row r="53" spans="4:4" x14ac:dyDescent="0.25">
      <c r="D53" s="31"/>
    </row>
    <row r="54" spans="4:4" x14ac:dyDescent="0.25">
      <c r="D54" s="31"/>
    </row>
    <row r="55" spans="4:4" x14ac:dyDescent="0.25">
      <c r="D55" s="31"/>
    </row>
    <row r="56" spans="4:4" x14ac:dyDescent="0.25">
      <c r="D56" s="31"/>
    </row>
    <row r="57" spans="4:4" x14ac:dyDescent="0.25">
      <c r="D57" s="31"/>
    </row>
    <row r="58" spans="4:4" x14ac:dyDescent="0.25">
      <c r="D58" s="31"/>
    </row>
    <row r="59" spans="4:4" x14ac:dyDescent="0.25">
      <c r="D59" s="31"/>
    </row>
    <row r="60" spans="4:4" x14ac:dyDescent="0.25">
      <c r="D60" s="31"/>
    </row>
    <row r="61" spans="4:4" x14ac:dyDescent="0.25">
      <c r="D61" s="31"/>
    </row>
    <row r="62" spans="4:4" x14ac:dyDescent="0.25">
      <c r="D62" s="31"/>
    </row>
    <row r="63" spans="4:4" x14ac:dyDescent="0.25">
      <c r="D63" s="31"/>
    </row>
    <row r="64" spans="4:4" x14ac:dyDescent="0.25">
      <c r="D64" s="31"/>
    </row>
    <row r="65" spans="4:4" x14ac:dyDescent="0.25">
      <c r="D65" s="31"/>
    </row>
    <row r="66" spans="4:4" x14ac:dyDescent="0.25">
      <c r="D66" s="31"/>
    </row>
    <row r="67" spans="4:4" x14ac:dyDescent="0.25">
      <c r="D67" s="31"/>
    </row>
    <row r="68" spans="4:4" x14ac:dyDescent="0.25">
      <c r="D68" s="31"/>
    </row>
    <row r="69" spans="4:4" x14ac:dyDescent="0.25">
      <c r="D69" s="31"/>
    </row>
    <row r="70" spans="4:4" x14ac:dyDescent="0.25">
      <c r="D70" s="31"/>
    </row>
    <row r="71" spans="4:4" x14ac:dyDescent="0.25">
      <c r="D71" s="31"/>
    </row>
    <row r="72" spans="4:4" x14ac:dyDescent="0.25">
      <c r="D72" s="31"/>
    </row>
    <row r="73" spans="4:4" x14ac:dyDescent="0.25">
      <c r="D73" s="31"/>
    </row>
    <row r="74" spans="4:4" x14ac:dyDescent="0.25">
      <c r="D74" s="31"/>
    </row>
    <row r="75" spans="4:4" x14ac:dyDescent="0.25">
      <c r="D75" s="31"/>
    </row>
    <row r="76" spans="4:4" x14ac:dyDescent="0.25">
      <c r="D76" s="31"/>
    </row>
    <row r="77" spans="4:4" x14ac:dyDescent="0.25">
      <c r="D77" s="31"/>
    </row>
    <row r="78" spans="4:4" x14ac:dyDescent="0.25">
      <c r="D78" s="31"/>
    </row>
    <row r="79" spans="4:4" x14ac:dyDescent="0.25">
      <c r="D79" s="31"/>
    </row>
    <row r="80" spans="4:4" x14ac:dyDescent="0.25">
      <c r="D80" s="31"/>
    </row>
    <row r="81" spans="4:4" x14ac:dyDescent="0.25">
      <c r="D81" s="31"/>
    </row>
    <row r="82" spans="4:4" x14ac:dyDescent="0.25">
      <c r="D82" s="31"/>
    </row>
    <row r="83" spans="4:4" x14ac:dyDescent="0.25">
      <c r="D83" s="31"/>
    </row>
    <row r="84" spans="4:4" x14ac:dyDescent="0.25">
      <c r="D84" s="31"/>
    </row>
    <row r="85" spans="4:4" x14ac:dyDescent="0.25">
      <c r="D85" s="31"/>
    </row>
    <row r="86" spans="4:4" x14ac:dyDescent="0.25">
      <c r="D86" s="31"/>
    </row>
    <row r="87" spans="4:4" x14ac:dyDescent="0.25">
      <c r="D87" s="31"/>
    </row>
    <row r="88" spans="4:4" x14ac:dyDescent="0.25">
      <c r="D88" s="31"/>
    </row>
    <row r="89" spans="4:4" x14ac:dyDescent="0.25">
      <c r="D89" s="31"/>
    </row>
    <row r="90" spans="4:4" x14ac:dyDescent="0.25">
      <c r="D90" s="31"/>
    </row>
    <row r="91" spans="4:4" x14ac:dyDescent="0.25">
      <c r="D91" s="31"/>
    </row>
    <row r="92" spans="4:4" x14ac:dyDescent="0.25">
      <c r="D92" s="31"/>
    </row>
    <row r="93" spans="4:4" x14ac:dyDescent="0.25">
      <c r="D93" s="31"/>
    </row>
    <row r="94" spans="4:4" x14ac:dyDescent="0.25">
      <c r="D94" s="31"/>
    </row>
    <row r="95" spans="4:4" x14ac:dyDescent="0.25">
      <c r="D95" s="31"/>
    </row>
    <row r="96" spans="4:4" x14ac:dyDescent="0.25">
      <c r="D96" s="31"/>
    </row>
    <row r="97" spans="4:4" x14ac:dyDescent="0.25">
      <c r="D97" s="31"/>
    </row>
    <row r="98" spans="4:4" x14ac:dyDescent="0.25">
      <c r="D98" s="31"/>
    </row>
    <row r="99" spans="4:4" x14ac:dyDescent="0.25">
      <c r="D99" s="31"/>
    </row>
    <row r="100" spans="4:4" x14ac:dyDescent="0.25">
      <c r="D100" s="31"/>
    </row>
    <row r="101" spans="4:4" x14ac:dyDescent="0.25">
      <c r="D101" s="31"/>
    </row>
    <row r="102" spans="4:4" x14ac:dyDescent="0.25">
      <c r="D102" s="31"/>
    </row>
    <row r="103" spans="4:4" x14ac:dyDescent="0.25">
      <c r="D103" s="31"/>
    </row>
    <row r="104" spans="4:4" x14ac:dyDescent="0.25">
      <c r="D104" s="31"/>
    </row>
    <row r="105" spans="4:4" x14ac:dyDescent="0.25">
      <c r="D105" s="31"/>
    </row>
    <row r="106" spans="4:4" x14ac:dyDescent="0.25">
      <c r="D106" s="31"/>
    </row>
    <row r="107" spans="4:4" x14ac:dyDescent="0.25">
      <c r="D107" s="31"/>
    </row>
    <row r="108" spans="4:4" x14ac:dyDescent="0.25">
      <c r="D108" s="31"/>
    </row>
    <row r="109" spans="4:4" x14ac:dyDescent="0.25">
      <c r="D109" s="31"/>
    </row>
    <row r="110" spans="4:4" x14ac:dyDescent="0.25">
      <c r="D110" s="31"/>
    </row>
    <row r="111" spans="4:4" x14ac:dyDescent="0.25">
      <c r="D111" s="31"/>
    </row>
    <row r="112" spans="4:4" x14ac:dyDescent="0.25">
      <c r="D112" s="31"/>
    </row>
    <row r="113" spans="4:4" x14ac:dyDescent="0.25">
      <c r="D113" s="31"/>
    </row>
    <row r="114" spans="4:4" x14ac:dyDescent="0.25">
      <c r="D114" s="31"/>
    </row>
    <row r="115" spans="4:4" x14ac:dyDescent="0.25">
      <c r="D115" s="31"/>
    </row>
    <row r="116" spans="4:4" x14ac:dyDescent="0.25">
      <c r="D116" s="31"/>
    </row>
    <row r="117" spans="4:4" x14ac:dyDescent="0.25">
      <c r="D117" s="31"/>
    </row>
    <row r="118" spans="4:4" x14ac:dyDescent="0.25">
      <c r="D118" s="31"/>
    </row>
    <row r="119" spans="4:4" x14ac:dyDescent="0.25">
      <c r="D119" s="31"/>
    </row>
    <row r="120" spans="4:4" x14ac:dyDescent="0.25">
      <c r="D120" s="31"/>
    </row>
    <row r="121" spans="4:4" x14ac:dyDescent="0.25">
      <c r="D121" s="31"/>
    </row>
    <row r="122" spans="4:4" x14ac:dyDescent="0.25">
      <c r="D122" s="31"/>
    </row>
    <row r="123" spans="4:4" x14ac:dyDescent="0.25">
      <c r="D123" s="31"/>
    </row>
    <row r="124" spans="4:4" x14ac:dyDescent="0.25">
      <c r="D124" s="31"/>
    </row>
    <row r="125" spans="4:4" x14ac:dyDescent="0.25">
      <c r="D125" s="31"/>
    </row>
    <row r="126" spans="4:4" x14ac:dyDescent="0.25">
      <c r="D126" s="31"/>
    </row>
    <row r="127" spans="4:4" x14ac:dyDescent="0.25">
      <c r="D127" s="31"/>
    </row>
    <row r="128" spans="4:4" x14ac:dyDescent="0.25">
      <c r="D128" s="31"/>
    </row>
    <row r="129" spans="4:4" x14ac:dyDescent="0.25">
      <c r="D129" s="31"/>
    </row>
    <row r="130" spans="4:4" x14ac:dyDescent="0.25">
      <c r="D130" s="31"/>
    </row>
    <row r="131" spans="4:4" x14ac:dyDescent="0.25">
      <c r="D131" s="31"/>
    </row>
    <row r="132" spans="4:4" x14ac:dyDescent="0.25">
      <c r="D132" s="31"/>
    </row>
    <row r="133" spans="4:4" x14ac:dyDescent="0.25">
      <c r="D133" s="31"/>
    </row>
    <row r="134" spans="4:4" x14ac:dyDescent="0.25">
      <c r="D134" s="31"/>
    </row>
    <row r="135" spans="4:4" x14ac:dyDescent="0.25">
      <c r="D135" s="31"/>
    </row>
    <row r="136" spans="4:4" x14ac:dyDescent="0.25">
      <c r="D136" s="31"/>
    </row>
    <row r="137" spans="4:4" x14ac:dyDescent="0.25">
      <c r="D137" s="31"/>
    </row>
    <row r="138" spans="4:4" x14ac:dyDescent="0.25">
      <c r="D138" s="31"/>
    </row>
    <row r="139" spans="4:4" x14ac:dyDescent="0.25">
      <c r="D139" s="31"/>
    </row>
    <row r="140" spans="4:4" x14ac:dyDescent="0.25">
      <c r="D140" s="31"/>
    </row>
    <row r="141" spans="4:4" x14ac:dyDescent="0.25">
      <c r="D141" s="31"/>
    </row>
    <row r="142" spans="4:4" x14ac:dyDescent="0.25">
      <c r="D142" s="31"/>
    </row>
    <row r="143" spans="4:4" x14ac:dyDescent="0.25">
      <c r="D143" s="31"/>
    </row>
    <row r="144" spans="4:4" x14ac:dyDescent="0.25">
      <c r="D144" s="31"/>
    </row>
    <row r="145" spans="4:4" x14ac:dyDescent="0.25">
      <c r="D145" s="31"/>
    </row>
    <row r="146" spans="4:4" x14ac:dyDescent="0.25">
      <c r="D146" s="31"/>
    </row>
    <row r="147" spans="4:4" x14ac:dyDescent="0.25">
      <c r="D147" s="31"/>
    </row>
    <row r="148" spans="4:4" x14ac:dyDescent="0.25">
      <c r="D148" s="31"/>
    </row>
    <row r="149" spans="4:4" x14ac:dyDescent="0.25">
      <c r="D149" s="31"/>
    </row>
    <row r="150" spans="4:4" x14ac:dyDescent="0.25">
      <c r="D150" s="31"/>
    </row>
    <row r="151" spans="4:4" x14ac:dyDescent="0.25">
      <c r="D151" s="31"/>
    </row>
    <row r="152" spans="4:4" x14ac:dyDescent="0.25">
      <c r="D152" s="31"/>
    </row>
    <row r="153" spans="4:4" x14ac:dyDescent="0.25">
      <c r="D153" s="31"/>
    </row>
    <row r="154" spans="4:4" x14ac:dyDescent="0.25">
      <c r="D154" s="31"/>
    </row>
    <row r="155" spans="4:4" x14ac:dyDescent="0.25">
      <c r="D155" s="31"/>
    </row>
    <row r="156" spans="4:4" x14ac:dyDescent="0.25">
      <c r="D156" s="31"/>
    </row>
    <row r="157" spans="4:4" x14ac:dyDescent="0.25">
      <c r="D157" s="31"/>
    </row>
    <row r="158" spans="4:4" x14ac:dyDescent="0.25">
      <c r="D158" s="31"/>
    </row>
    <row r="159" spans="4:4" x14ac:dyDescent="0.25">
      <c r="D159" s="31"/>
    </row>
    <row r="160" spans="4:4" x14ac:dyDescent="0.25">
      <c r="D160" s="31"/>
    </row>
    <row r="161" spans="4:4" x14ac:dyDescent="0.25">
      <c r="D161" s="31"/>
    </row>
    <row r="162" spans="4:4" x14ac:dyDescent="0.25">
      <c r="D162" s="31"/>
    </row>
    <row r="163" spans="4:4" x14ac:dyDescent="0.25">
      <c r="D163" s="31"/>
    </row>
    <row r="164" spans="4:4" x14ac:dyDescent="0.25">
      <c r="D164" s="31"/>
    </row>
    <row r="165" spans="4:4" x14ac:dyDescent="0.25">
      <c r="D165" s="31"/>
    </row>
    <row r="166" spans="4:4" x14ac:dyDescent="0.25">
      <c r="D166" s="31"/>
    </row>
    <row r="167" spans="4:4" x14ac:dyDescent="0.25">
      <c r="D167" s="31"/>
    </row>
    <row r="168" spans="4:4" x14ac:dyDescent="0.25">
      <c r="D168" s="31"/>
    </row>
    <row r="169" spans="4:4" x14ac:dyDescent="0.25">
      <c r="D169" s="31"/>
    </row>
    <row r="170" spans="4:4" x14ac:dyDescent="0.25">
      <c r="D170" s="31"/>
    </row>
    <row r="171" spans="4:4" x14ac:dyDescent="0.25">
      <c r="D171" s="31"/>
    </row>
    <row r="172" spans="4:4" x14ac:dyDescent="0.25">
      <c r="D172" s="31"/>
    </row>
    <row r="173" spans="4:4" x14ac:dyDescent="0.25">
      <c r="D173" s="31"/>
    </row>
    <row r="174" spans="4:4" x14ac:dyDescent="0.25">
      <c r="D174" s="31"/>
    </row>
  </sheetData>
  <mergeCells count="6">
    <mergeCell ref="B6:L6"/>
    <mergeCell ref="B7:L7"/>
    <mergeCell ref="B2:L2"/>
    <mergeCell ref="B3:L3"/>
    <mergeCell ref="B4:L4"/>
    <mergeCell ref="B5:L5"/>
  </mergeCells>
  <printOptions horizontalCentered="1"/>
  <pageMargins left="0.5" right="0.5" top="0.5" bottom="0.5" header="0.25" footer="0.25"/>
  <pageSetup scale="56" orientation="landscape" r:id="rId1"/>
  <headerFooter scaleWithDoc="0">
    <oddFooter>&amp;C&amp;"Times New Roman,Regular"&amp;10&amp;A</oddFooter>
  </headerFooter>
  <customProperties>
    <customPr name="_pios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2:R174"/>
  <sheetViews>
    <sheetView topLeftCell="A4" zoomScale="80" zoomScaleNormal="80" workbookViewId="0">
      <selection activeCell="E44" sqref="E44"/>
    </sheetView>
  </sheetViews>
  <sheetFormatPr defaultColWidth="9.28515625" defaultRowHeight="15.75" x14ac:dyDescent="0.25"/>
  <cols>
    <col min="1" max="1" width="5.28515625" style="4" customWidth="1"/>
    <col min="2" max="2" width="11.28515625" style="31" customWidth="1"/>
    <col min="3" max="3" width="32.5703125" style="31" customWidth="1"/>
    <col min="4" max="11" width="18.5703125" style="6" customWidth="1"/>
    <col min="12" max="12" width="24" style="6" customWidth="1"/>
    <col min="13" max="14" width="5.28515625" style="4" customWidth="1"/>
    <col min="15" max="16384" width="9.28515625" style="31"/>
  </cols>
  <sheetData>
    <row r="2" spans="1:14" s="1" customFormat="1" x14ac:dyDescent="0.25">
      <c r="A2" s="217"/>
      <c r="B2" s="1316" t="s">
        <v>0</v>
      </c>
      <c r="C2" s="1316"/>
      <c r="D2" s="1316"/>
      <c r="E2" s="1316"/>
      <c r="F2" s="1316"/>
      <c r="G2" s="1316"/>
      <c r="H2" s="1316"/>
      <c r="I2" s="1316"/>
      <c r="J2" s="1316"/>
      <c r="K2" s="1316"/>
      <c r="L2" s="1316"/>
      <c r="M2" s="217"/>
      <c r="N2" s="217"/>
    </row>
    <row r="3" spans="1:14" s="1" customFormat="1" x14ac:dyDescent="0.25">
      <c r="A3" s="217"/>
      <c r="B3" s="1316" t="s">
        <v>296</v>
      </c>
      <c r="C3" s="1316"/>
      <c r="D3" s="1316"/>
      <c r="E3" s="1316"/>
      <c r="F3" s="1316"/>
      <c r="G3" s="1316"/>
      <c r="H3" s="1316"/>
      <c r="I3" s="1316"/>
      <c r="J3" s="1316"/>
      <c r="K3" s="1316"/>
      <c r="L3" s="1316"/>
      <c r="M3" s="217"/>
      <c r="N3" s="217"/>
    </row>
    <row r="4" spans="1:14" x14ac:dyDescent="0.25">
      <c r="B4" s="1316" t="s">
        <v>381</v>
      </c>
      <c r="C4" s="1316"/>
      <c r="D4" s="1316"/>
      <c r="E4" s="1316"/>
      <c r="F4" s="1316"/>
      <c r="G4" s="1316"/>
      <c r="H4" s="1316"/>
      <c r="I4" s="1316"/>
      <c r="J4" s="1316"/>
      <c r="K4" s="1316"/>
      <c r="L4" s="1316"/>
    </row>
    <row r="5" spans="1:14" x14ac:dyDescent="0.25">
      <c r="B5" s="1316" t="s">
        <v>377</v>
      </c>
      <c r="C5" s="1316"/>
      <c r="D5" s="1316"/>
      <c r="E5" s="1316"/>
      <c r="F5" s="1316"/>
      <c r="G5" s="1316"/>
      <c r="H5" s="1316"/>
      <c r="I5" s="1316"/>
      <c r="J5" s="1316"/>
      <c r="K5" s="1316"/>
      <c r="L5" s="1316"/>
    </row>
    <row r="6" spans="1:14" x14ac:dyDescent="0.25">
      <c r="B6" s="1316" t="str">
        <f>'AD-6B'!B5</f>
        <v>BALANCES AS OF 12/31/2025</v>
      </c>
      <c r="C6" s="1316"/>
      <c r="D6" s="1316"/>
      <c r="E6" s="1316"/>
      <c r="F6" s="1316"/>
      <c r="G6" s="1316"/>
      <c r="H6" s="1316"/>
      <c r="I6" s="1316"/>
      <c r="J6" s="1316"/>
      <c r="K6" s="1316"/>
      <c r="L6" s="1316"/>
    </row>
    <row r="7" spans="1:14" x14ac:dyDescent="0.25">
      <c r="B7" s="1312" t="s">
        <v>4</v>
      </c>
      <c r="C7" s="1316"/>
      <c r="D7" s="1316"/>
      <c r="E7" s="1316"/>
      <c r="F7" s="1316"/>
      <c r="G7" s="1316"/>
      <c r="H7" s="1316"/>
      <c r="I7" s="1316"/>
      <c r="J7" s="1316"/>
      <c r="K7" s="1316"/>
      <c r="L7" s="1316"/>
    </row>
    <row r="8" spans="1:14" x14ac:dyDescent="0.25">
      <c r="C8" s="266"/>
      <c r="D8" s="267"/>
      <c r="E8" s="293"/>
      <c r="F8" s="293"/>
      <c r="G8" s="293"/>
      <c r="H8" s="293"/>
      <c r="I8" s="293"/>
      <c r="J8" s="293"/>
      <c r="K8" s="293"/>
      <c r="L8" s="293"/>
    </row>
    <row r="9" spans="1:14" s="217" customFormat="1" x14ac:dyDescent="0.25">
      <c r="B9" s="962"/>
      <c r="C9" s="943"/>
      <c r="D9" s="944" t="s">
        <v>298</v>
      </c>
      <c r="E9" s="944" t="s">
        <v>299</v>
      </c>
      <c r="F9" s="944" t="s">
        <v>300</v>
      </c>
      <c r="G9" s="944" t="s">
        <v>301</v>
      </c>
      <c r="H9" s="944" t="s">
        <v>302</v>
      </c>
      <c r="I9" s="944" t="s">
        <v>303</v>
      </c>
      <c r="J9" s="944" t="s">
        <v>304</v>
      </c>
      <c r="K9" s="334" t="s">
        <v>305</v>
      </c>
      <c r="L9" s="925"/>
    </row>
    <row r="10" spans="1:14" x14ac:dyDescent="0.25">
      <c r="B10" s="970"/>
      <c r="C10" s="926"/>
      <c r="D10" s="294"/>
      <c r="E10" s="294"/>
      <c r="F10" s="298"/>
      <c r="G10" s="294"/>
      <c r="H10" s="294"/>
      <c r="I10" s="294"/>
      <c r="J10" s="294"/>
      <c r="K10" s="299" t="s">
        <v>180</v>
      </c>
      <c r="L10" s="945"/>
    </row>
    <row r="11" spans="1:14" x14ac:dyDescent="0.25">
      <c r="B11" s="970"/>
      <c r="C11" s="926"/>
      <c r="D11" s="294"/>
      <c r="E11" s="294" t="s">
        <v>306</v>
      </c>
      <c r="F11" s="298" t="s">
        <v>290</v>
      </c>
      <c r="G11" s="294" t="s">
        <v>295</v>
      </c>
      <c r="H11" s="294" t="s">
        <v>295</v>
      </c>
      <c r="I11" s="294" t="s">
        <v>295</v>
      </c>
      <c r="J11" s="294" t="s">
        <v>295</v>
      </c>
      <c r="K11" s="298" t="s">
        <v>295</v>
      </c>
      <c r="L11" s="932"/>
    </row>
    <row r="12" spans="1:14" x14ac:dyDescent="0.25">
      <c r="B12" s="331"/>
      <c r="C12" s="233"/>
      <c r="D12" s="298" t="s">
        <v>180</v>
      </c>
      <c r="E12" s="294" t="s">
        <v>382</v>
      </c>
      <c r="F12" s="294" t="s">
        <v>382</v>
      </c>
      <c r="G12" s="294" t="s">
        <v>382</v>
      </c>
      <c r="H12" s="294" t="s">
        <v>382</v>
      </c>
      <c r="I12" s="294" t="s">
        <v>382</v>
      </c>
      <c r="J12" s="294" t="s">
        <v>382</v>
      </c>
      <c r="K12" s="298" t="s">
        <v>378</v>
      </c>
      <c r="L12" s="269"/>
    </row>
    <row r="13" spans="1:14" x14ac:dyDescent="0.25">
      <c r="A13" s="4" t="s">
        <v>5</v>
      </c>
      <c r="B13" s="318"/>
      <c r="C13" s="277"/>
      <c r="D13" s="298" t="s">
        <v>295</v>
      </c>
      <c r="E13" s="294" t="s">
        <v>383</v>
      </c>
      <c r="F13" s="294" t="s">
        <v>383</v>
      </c>
      <c r="G13" s="294" t="s">
        <v>383</v>
      </c>
      <c r="H13" s="294" t="s">
        <v>383</v>
      </c>
      <c r="I13" s="294" t="s">
        <v>383</v>
      </c>
      <c r="J13" s="294" t="s">
        <v>383</v>
      </c>
      <c r="K13" s="298" t="s">
        <v>337</v>
      </c>
      <c r="L13" s="269"/>
      <c r="M13" s="4" t="s">
        <v>5</v>
      </c>
    </row>
    <row r="14" spans="1:14" x14ac:dyDescent="0.25">
      <c r="A14" s="4" t="s">
        <v>6</v>
      </c>
      <c r="B14" s="305" t="s">
        <v>310</v>
      </c>
      <c r="C14" s="274" t="s">
        <v>311</v>
      </c>
      <c r="D14" s="306" t="s">
        <v>382</v>
      </c>
      <c r="E14" s="300" t="s">
        <v>312</v>
      </c>
      <c r="F14" s="300" t="s">
        <v>313</v>
      </c>
      <c r="G14" s="300" t="s">
        <v>384</v>
      </c>
      <c r="H14" s="300" t="s">
        <v>385</v>
      </c>
      <c r="I14" s="300" t="s">
        <v>386</v>
      </c>
      <c r="J14" s="300" t="s">
        <v>316</v>
      </c>
      <c r="K14" s="275" t="s">
        <v>317</v>
      </c>
      <c r="L14" s="274" t="s">
        <v>8</v>
      </c>
      <c r="M14" s="4" t="s">
        <v>6</v>
      </c>
    </row>
    <row r="15" spans="1:14" x14ac:dyDescent="0.25">
      <c r="B15" s="233"/>
      <c r="C15" s="233" t="s">
        <v>318</v>
      </c>
      <c r="D15" s="233"/>
      <c r="E15" s="233"/>
      <c r="F15" s="233"/>
      <c r="G15" s="233"/>
      <c r="H15" s="233"/>
      <c r="I15" s="233"/>
      <c r="J15" s="233"/>
      <c r="K15" s="62"/>
      <c r="L15" s="932"/>
    </row>
    <row r="16" spans="1:14" x14ac:dyDescent="0.25">
      <c r="A16" s="4">
        <v>1</v>
      </c>
      <c r="B16" s="947">
        <v>303</v>
      </c>
      <c r="C16" s="233" t="s">
        <v>319</v>
      </c>
      <c r="D16" s="231">
        <v>0</v>
      </c>
      <c r="E16" s="231">
        <v>0</v>
      </c>
      <c r="F16" s="231">
        <v>0</v>
      </c>
      <c r="G16" s="231">
        <v>0</v>
      </c>
      <c r="H16" s="231">
        <v>0</v>
      </c>
      <c r="I16" s="231">
        <v>0</v>
      </c>
      <c r="J16" s="231">
        <v>0</v>
      </c>
      <c r="K16" s="58">
        <f>SUM(D16:J16)</f>
        <v>0</v>
      </c>
      <c r="L16" s="932" t="s">
        <v>263</v>
      </c>
      <c r="M16" s="4">
        <f>A16</f>
        <v>1</v>
      </c>
    </row>
    <row r="17" spans="1:16" x14ac:dyDescent="0.25">
      <c r="A17" s="4">
        <f>A16+1</f>
        <v>2</v>
      </c>
      <c r="B17" s="932">
        <v>310.10000000000002</v>
      </c>
      <c r="C17" s="233" t="s">
        <v>320</v>
      </c>
      <c r="D17" s="232">
        <v>0</v>
      </c>
      <c r="E17" s="232">
        <v>0</v>
      </c>
      <c r="F17" s="232">
        <v>0</v>
      </c>
      <c r="G17" s="232">
        <v>0</v>
      </c>
      <c r="H17" s="232">
        <v>0</v>
      </c>
      <c r="I17" s="232">
        <v>0</v>
      </c>
      <c r="J17" s="232">
        <v>0</v>
      </c>
      <c r="K17" s="52">
        <f>SUM(D17:J17)</f>
        <v>0</v>
      </c>
      <c r="L17" s="932" t="s">
        <v>263</v>
      </c>
      <c r="M17" s="4">
        <f>M16+1</f>
        <v>2</v>
      </c>
    </row>
    <row r="18" spans="1:16" x14ac:dyDescent="0.25">
      <c r="A18" s="4">
        <f t="shared" ref="A18:A39" si="0">A17+1</f>
        <v>3</v>
      </c>
      <c r="B18" s="947">
        <v>340</v>
      </c>
      <c r="C18" s="948" t="s">
        <v>321</v>
      </c>
      <c r="D18" s="232">
        <v>0</v>
      </c>
      <c r="E18" s="232">
        <v>1.038438492</v>
      </c>
      <c r="F18" s="232">
        <v>0</v>
      </c>
      <c r="G18" s="232">
        <v>0</v>
      </c>
      <c r="H18" s="232">
        <v>0</v>
      </c>
      <c r="I18" s="232">
        <v>0</v>
      </c>
      <c r="J18" s="232">
        <v>0</v>
      </c>
      <c r="K18" s="52">
        <f>SUM(D18:J18)</f>
        <v>1.038438492</v>
      </c>
      <c r="L18" s="932" t="s">
        <v>263</v>
      </c>
      <c r="M18" s="4">
        <f t="shared" ref="M18:M39" si="1">M17+1</f>
        <v>3</v>
      </c>
    </row>
    <row r="19" spans="1:16" x14ac:dyDescent="0.25">
      <c r="A19" s="4">
        <f t="shared" si="0"/>
        <v>4</v>
      </c>
      <c r="B19" s="947">
        <v>360</v>
      </c>
      <c r="C19" s="948" t="s">
        <v>321</v>
      </c>
      <c r="D19" s="232">
        <v>0</v>
      </c>
      <c r="E19" s="232">
        <v>0</v>
      </c>
      <c r="F19" s="232">
        <v>30.394555</v>
      </c>
      <c r="G19" s="232">
        <v>0</v>
      </c>
      <c r="H19" s="232">
        <v>0</v>
      </c>
      <c r="I19" s="232">
        <v>0</v>
      </c>
      <c r="J19" s="232">
        <v>0</v>
      </c>
      <c r="K19" s="52">
        <f>SUM(D19:J19)</f>
        <v>30.394555</v>
      </c>
      <c r="L19" s="932" t="s">
        <v>263</v>
      </c>
      <c r="M19" s="4">
        <f t="shared" si="1"/>
        <v>4</v>
      </c>
    </row>
    <row r="20" spans="1:16" x14ac:dyDescent="0.25">
      <c r="A20" s="4">
        <f t="shared" si="0"/>
        <v>5</v>
      </c>
      <c r="B20" s="947">
        <v>361</v>
      </c>
      <c r="C20" s="233" t="s">
        <v>322</v>
      </c>
      <c r="D20" s="232">
        <v>0</v>
      </c>
      <c r="E20" s="232">
        <v>0</v>
      </c>
      <c r="F20" s="232">
        <v>907.222260614525</v>
      </c>
      <c r="G20" s="232">
        <v>0</v>
      </c>
      <c r="H20" s="232">
        <v>0</v>
      </c>
      <c r="I20" s="232">
        <v>0</v>
      </c>
      <c r="J20" s="232">
        <v>0</v>
      </c>
      <c r="K20" s="52">
        <f>SUM(D20:J20)</f>
        <v>907.222260614525</v>
      </c>
      <c r="L20" s="932" t="s">
        <v>263</v>
      </c>
      <c r="M20" s="4">
        <f t="shared" si="1"/>
        <v>5</v>
      </c>
    </row>
    <row r="21" spans="1:16" x14ac:dyDescent="0.25">
      <c r="A21" s="4">
        <f t="shared" si="0"/>
        <v>6</v>
      </c>
      <c r="B21" s="932"/>
      <c r="C21" s="233"/>
      <c r="D21" s="233"/>
      <c r="E21" s="233"/>
      <c r="F21" s="233"/>
      <c r="G21" s="233"/>
      <c r="H21" s="233"/>
      <c r="I21" s="233"/>
      <c r="J21" s="233"/>
      <c r="K21" s="52"/>
      <c r="L21" s="932"/>
      <c r="M21" s="4">
        <f t="shared" si="1"/>
        <v>6</v>
      </c>
    </row>
    <row r="22" spans="1:16" s="1" customFormat="1" x14ac:dyDescent="0.25">
      <c r="A22" s="4">
        <f t="shared" si="0"/>
        <v>7</v>
      </c>
      <c r="B22" s="949" t="s">
        <v>323</v>
      </c>
      <c r="C22" s="950" t="s">
        <v>324</v>
      </c>
      <c r="D22" s="951">
        <f t="shared" ref="D22:I22" si="2">SUM(D16:D21)</f>
        <v>0</v>
      </c>
      <c r="E22" s="951">
        <f t="shared" si="2"/>
        <v>1.038438492</v>
      </c>
      <c r="F22" s="951">
        <f t="shared" si="2"/>
        <v>937.61681561452497</v>
      </c>
      <c r="G22" s="951">
        <f t="shared" si="2"/>
        <v>0</v>
      </c>
      <c r="H22" s="951">
        <f t="shared" si="2"/>
        <v>0</v>
      </c>
      <c r="I22" s="951">
        <f t="shared" si="2"/>
        <v>0</v>
      </c>
      <c r="J22" s="951">
        <f>SUM(J16:J21)</f>
        <v>0</v>
      </c>
      <c r="K22" s="235">
        <f>SUM(K16:K21)</f>
        <v>938.65525410652504</v>
      </c>
      <c r="L22" s="952" t="s">
        <v>14</v>
      </c>
      <c r="M22" s="4">
        <f t="shared" si="1"/>
        <v>7</v>
      </c>
      <c r="N22" s="4"/>
    </row>
    <row r="23" spans="1:16" x14ac:dyDescent="0.25">
      <c r="A23" s="4">
        <f t="shared" si="0"/>
        <v>8</v>
      </c>
      <c r="B23" s="932"/>
      <c r="C23" s="233"/>
      <c r="D23" s="232"/>
      <c r="E23" s="232"/>
      <c r="F23" s="232"/>
      <c r="G23" s="232"/>
      <c r="H23" s="232"/>
      <c r="I23" s="232"/>
      <c r="J23" s="232"/>
      <c r="K23" s="80"/>
      <c r="L23" s="932"/>
      <c r="M23" s="4">
        <f t="shared" si="1"/>
        <v>8</v>
      </c>
    </row>
    <row r="24" spans="1:16" x14ac:dyDescent="0.25">
      <c r="A24" s="4">
        <f t="shared" si="0"/>
        <v>9</v>
      </c>
      <c r="B24" s="947">
        <v>350</v>
      </c>
      <c r="C24" s="233" t="s">
        <v>321</v>
      </c>
      <c r="D24" s="231">
        <v>38355.616000000002</v>
      </c>
      <c r="E24" s="231">
        <v>0</v>
      </c>
      <c r="F24" s="231">
        <v>0</v>
      </c>
      <c r="G24" s="231">
        <v>0</v>
      </c>
      <c r="H24" s="231">
        <v>0</v>
      </c>
      <c r="I24" s="231">
        <v>0</v>
      </c>
      <c r="J24" s="231">
        <v>-422.05603972800003</v>
      </c>
      <c r="K24" s="58">
        <f t="shared" ref="K24:K35" si="3">SUM(D24:J24)</f>
        <v>37933.559960272003</v>
      </c>
      <c r="L24" s="932" t="s">
        <v>263</v>
      </c>
      <c r="M24" s="4">
        <f t="shared" si="1"/>
        <v>9</v>
      </c>
    </row>
    <row r="25" spans="1:16" x14ac:dyDescent="0.25">
      <c r="A25" s="4">
        <f t="shared" si="0"/>
        <v>10</v>
      </c>
      <c r="B25" s="947">
        <v>351.1</v>
      </c>
      <c r="C25" s="233" t="s">
        <v>1492</v>
      </c>
      <c r="D25" s="1305">
        <v>30.523990000000001</v>
      </c>
      <c r="E25" s="1100">
        <v>0</v>
      </c>
      <c r="F25" s="1100">
        <v>0</v>
      </c>
      <c r="G25" s="1100">
        <v>0</v>
      </c>
      <c r="H25" s="1100">
        <v>0</v>
      </c>
      <c r="I25" s="1100">
        <v>0</v>
      </c>
      <c r="J25" s="1100">
        <v>0</v>
      </c>
      <c r="K25" s="52">
        <f t="shared" si="3"/>
        <v>30.523990000000001</v>
      </c>
      <c r="L25" s="932" t="s">
        <v>263</v>
      </c>
      <c r="M25" s="4">
        <f t="shared" si="1"/>
        <v>10</v>
      </c>
      <c r="N25" s="357"/>
      <c r="O25" s="357"/>
    </row>
    <row r="26" spans="1:16" x14ac:dyDescent="0.25">
      <c r="A26" s="4">
        <f t="shared" si="0"/>
        <v>11</v>
      </c>
      <c r="B26" s="947">
        <v>351.2</v>
      </c>
      <c r="C26" s="233" t="s">
        <v>1493</v>
      </c>
      <c r="D26" s="1305">
        <v>1156.7868100000001</v>
      </c>
      <c r="E26" s="1100">
        <v>0</v>
      </c>
      <c r="F26" s="1100">
        <v>0</v>
      </c>
      <c r="G26" s="1100">
        <v>0</v>
      </c>
      <c r="H26" s="1100">
        <v>0</v>
      </c>
      <c r="I26" s="1100">
        <v>0</v>
      </c>
      <c r="J26" s="1100">
        <v>0</v>
      </c>
      <c r="K26" s="52">
        <f t="shared" si="3"/>
        <v>1156.7868100000001</v>
      </c>
      <c r="L26" s="932" t="s">
        <v>263</v>
      </c>
      <c r="M26" s="4">
        <f t="shared" si="1"/>
        <v>11</v>
      </c>
      <c r="N26" s="357"/>
      <c r="O26" s="357"/>
    </row>
    <row r="27" spans="1:16" x14ac:dyDescent="0.25">
      <c r="A27" s="4">
        <f t="shared" si="0"/>
        <v>12</v>
      </c>
      <c r="B27" s="947">
        <v>351.3</v>
      </c>
      <c r="C27" s="233" t="s">
        <v>1494</v>
      </c>
      <c r="D27" s="1305">
        <v>97948.279710000003</v>
      </c>
      <c r="E27" s="1100">
        <v>0</v>
      </c>
      <c r="F27" s="1100">
        <v>0</v>
      </c>
      <c r="G27" s="1100">
        <v>0</v>
      </c>
      <c r="H27" s="1100">
        <v>0</v>
      </c>
      <c r="I27" s="1100">
        <v>0</v>
      </c>
      <c r="J27" s="1100">
        <v>0</v>
      </c>
      <c r="K27" s="52">
        <f t="shared" si="3"/>
        <v>97948.279710000003</v>
      </c>
      <c r="L27" s="932" t="s">
        <v>263</v>
      </c>
      <c r="M27" s="4">
        <f t="shared" si="1"/>
        <v>12</v>
      </c>
      <c r="N27" s="357"/>
      <c r="O27" s="357"/>
    </row>
    <row r="28" spans="1:16" x14ac:dyDescent="0.25">
      <c r="A28" s="4">
        <f t="shared" si="0"/>
        <v>13</v>
      </c>
      <c r="B28" s="947">
        <v>352</v>
      </c>
      <c r="C28" s="233" t="s">
        <v>322</v>
      </c>
      <c r="D28" s="232">
        <v>201403.892637966</v>
      </c>
      <c r="E28" s="232">
        <v>0</v>
      </c>
      <c r="F28" s="232">
        <v>0</v>
      </c>
      <c r="G28" s="232">
        <v>-705.64522596558993</v>
      </c>
      <c r="H28" s="232">
        <v>0</v>
      </c>
      <c r="I28" s="232">
        <v>0</v>
      </c>
      <c r="J28" s="232">
        <v>-32864.632161997004</v>
      </c>
      <c r="K28" s="52">
        <f t="shared" si="3"/>
        <v>167833.61525000341</v>
      </c>
      <c r="L28" s="932" t="s">
        <v>263</v>
      </c>
      <c r="M28" s="4">
        <f t="shared" si="1"/>
        <v>13</v>
      </c>
      <c r="N28" s="357"/>
      <c r="P28" s="6"/>
    </row>
    <row r="29" spans="1:16" x14ac:dyDescent="0.25">
      <c r="A29" s="4">
        <f t="shared" si="0"/>
        <v>14</v>
      </c>
      <c r="B29" s="947">
        <v>353</v>
      </c>
      <c r="C29" s="233" t="s">
        <v>325</v>
      </c>
      <c r="D29" s="232">
        <v>835602.80735782499</v>
      </c>
      <c r="E29" s="232">
        <v>0</v>
      </c>
      <c r="F29" s="232">
        <v>0</v>
      </c>
      <c r="G29" s="232">
        <v>-5141.4417360265597</v>
      </c>
      <c r="H29" s="232">
        <v>-752.00172732273609</v>
      </c>
      <c r="I29" s="232">
        <v>0</v>
      </c>
      <c r="J29" s="232">
        <v>-1996.00624860311</v>
      </c>
      <c r="K29" s="52">
        <f t="shared" si="3"/>
        <v>827713.35764587263</v>
      </c>
      <c r="L29" s="932" t="s">
        <v>263</v>
      </c>
      <c r="M29" s="4">
        <f t="shared" si="1"/>
        <v>14</v>
      </c>
      <c r="N29" s="357"/>
    </row>
    <row r="30" spans="1:16" x14ac:dyDescent="0.25">
      <c r="A30" s="4">
        <f t="shared" si="0"/>
        <v>15</v>
      </c>
      <c r="B30" s="947">
        <v>354</v>
      </c>
      <c r="C30" s="233" t="s">
        <v>326</v>
      </c>
      <c r="D30" s="232">
        <v>347641.233401381</v>
      </c>
      <c r="E30" s="232">
        <v>0</v>
      </c>
      <c r="F30" s="232">
        <v>0</v>
      </c>
      <c r="G30" s="232">
        <v>0</v>
      </c>
      <c r="H30" s="232">
        <v>0</v>
      </c>
      <c r="I30" s="232">
        <v>0</v>
      </c>
      <c r="J30" s="232">
        <v>0</v>
      </c>
      <c r="K30" s="52">
        <f t="shared" si="3"/>
        <v>347641.233401381</v>
      </c>
      <c r="L30" s="932" t="s">
        <v>263</v>
      </c>
      <c r="M30" s="4">
        <f t="shared" si="1"/>
        <v>15</v>
      </c>
      <c r="N30" s="357"/>
    </row>
    <row r="31" spans="1:16" x14ac:dyDescent="0.25">
      <c r="A31" s="4">
        <f t="shared" si="0"/>
        <v>16</v>
      </c>
      <c r="B31" s="947">
        <v>355</v>
      </c>
      <c r="C31" s="233" t="s">
        <v>327</v>
      </c>
      <c r="D31" s="232">
        <v>337925.90119397995</v>
      </c>
      <c r="E31" s="232">
        <v>0</v>
      </c>
      <c r="F31" s="232">
        <v>0</v>
      </c>
      <c r="G31" s="232">
        <v>0</v>
      </c>
      <c r="H31" s="232">
        <v>0</v>
      </c>
      <c r="I31" s="232">
        <v>0</v>
      </c>
      <c r="J31" s="232">
        <v>0</v>
      </c>
      <c r="K31" s="52">
        <f t="shared" si="3"/>
        <v>337925.90119397995</v>
      </c>
      <c r="L31" s="932" t="s">
        <v>263</v>
      </c>
      <c r="M31" s="4">
        <f t="shared" si="1"/>
        <v>16</v>
      </c>
      <c r="N31" s="357"/>
    </row>
    <row r="32" spans="1:16" x14ac:dyDescent="0.25">
      <c r="A32" s="4">
        <f t="shared" si="0"/>
        <v>17</v>
      </c>
      <c r="B32" s="947">
        <v>356</v>
      </c>
      <c r="C32" s="233" t="s">
        <v>328</v>
      </c>
      <c r="D32" s="232">
        <v>353458.52213664597</v>
      </c>
      <c r="E32" s="232">
        <v>0</v>
      </c>
      <c r="F32" s="232">
        <v>0</v>
      </c>
      <c r="G32" s="232">
        <v>0</v>
      </c>
      <c r="H32" s="232">
        <v>0</v>
      </c>
      <c r="I32" s="232">
        <v>0</v>
      </c>
      <c r="J32" s="232">
        <v>0</v>
      </c>
      <c r="K32" s="52">
        <f t="shared" si="3"/>
        <v>353458.52213664597</v>
      </c>
      <c r="L32" s="932" t="s">
        <v>263</v>
      </c>
      <c r="M32" s="4">
        <f t="shared" si="1"/>
        <v>17</v>
      </c>
      <c r="N32" s="357"/>
    </row>
    <row r="33" spans="1:18" x14ac:dyDescent="0.25">
      <c r="A33" s="4">
        <f t="shared" si="0"/>
        <v>18</v>
      </c>
      <c r="B33" s="947">
        <v>357</v>
      </c>
      <c r="C33" s="233" t="s">
        <v>329</v>
      </c>
      <c r="D33" s="232">
        <v>157924.944740273</v>
      </c>
      <c r="E33" s="232">
        <v>0</v>
      </c>
      <c r="F33" s="232">
        <v>0</v>
      </c>
      <c r="G33" s="232">
        <v>0</v>
      </c>
      <c r="H33" s="232">
        <v>0</v>
      </c>
      <c r="I33" s="232">
        <v>0</v>
      </c>
      <c r="J33" s="232">
        <v>0</v>
      </c>
      <c r="K33" s="52">
        <f t="shared" si="3"/>
        <v>157924.944740273</v>
      </c>
      <c r="L33" s="932" t="s">
        <v>263</v>
      </c>
      <c r="M33" s="4">
        <f t="shared" si="1"/>
        <v>18</v>
      </c>
      <c r="N33" s="357"/>
    </row>
    <row r="34" spans="1:18" x14ac:dyDescent="0.25">
      <c r="A34" s="4">
        <f t="shared" si="0"/>
        <v>19</v>
      </c>
      <c r="B34" s="947">
        <v>358</v>
      </c>
      <c r="C34" s="233" t="s">
        <v>330</v>
      </c>
      <c r="D34" s="232">
        <v>155679.21028198299</v>
      </c>
      <c r="E34" s="232">
        <v>0</v>
      </c>
      <c r="F34" s="232">
        <v>0</v>
      </c>
      <c r="G34" s="232">
        <v>-720.99260725042097</v>
      </c>
      <c r="H34" s="232">
        <v>0</v>
      </c>
      <c r="I34" s="232">
        <v>0</v>
      </c>
      <c r="J34" s="232">
        <v>0</v>
      </c>
      <c r="K34" s="52">
        <f t="shared" si="3"/>
        <v>154958.21767473256</v>
      </c>
      <c r="L34" s="932" t="s">
        <v>263</v>
      </c>
      <c r="M34" s="4">
        <f t="shared" si="1"/>
        <v>19</v>
      </c>
      <c r="N34" s="357"/>
    </row>
    <row r="35" spans="1:18" x14ac:dyDescent="0.25">
      <c r="A35" s="4">
        <f t="shared" si="0"/>
        <v>20</v>
      </c>
      <c r="B35" s="947">
        <v>359</v>
      </c>
      <c r="C35" s="233" t="s">
        <v>331</v>
      </c>
      <c r="D35" s="232">
        <v>81647.1128821608</v>
      </c>
      <c r="E35" s="232">
        <v>0</v>
      </c>
      <c r="F35" s="232">
        <v>0</v>
      </c>
      <c r="G35" s="232">
        <v>0</v>
      </c>
      <c r="H35" s="232">
        <v>0</v>
      </c>
      <c r="I35" s="232">
        <v>0</v>
      </c>
      <c r="J35" s="232">
        <v>0</v>
      </c>
      <c r="K35" s="52">
        <f t="shared" si="3"/>
        <v>81647.1128821608</v>
      </c>
      <c r="L35" s="932" t="s">
        <v>263</v>
      </c>
      <c r="M35" s="4">
        <f t="shared" si="1"/>
        <v>20</v>
      </c>
      <c r="N35" s="357"/>
    </row>
    <row r="36" spans="1:18" x14ac:dyDescent="0.25">
      <c r="A36" s="4">
        <f t="shared" si="0"/>
        <v>21</v>
      </c>
      <c r="B36" s="971"/>
      <c r="C36" s="233"/>
      <c r="D36" s="232"/>
      <c r="F36" s="93"/>
      <c r="G36" s="93"/>
      <c r="H36" s="93"/>
      <c r="I36" s="93"/>
      <c r="J36" s="232"/>
      <c r="K36" s="53"/>
      <c r="L36" s="947"/>
      <c r="M36" s="4">
        <f t="shared" si="1"/>
        <v>21</v>
      </c>
      <c r="N36" s="357"/>
    </row>
    <row r="37" spans="1:18" x14ac:dyDescent="0.25">
      <c r="A37" s="4">
        <f t="shared" si="0"/>
        <v>22</v>
      </c>
      <c r="B37" s="955" t="s">
        <v>323</v>
      </c>
      <c r="C37" s="950" t="s">
        <v>294</v>
      </c>
      <c r="D37" s="951">
        <f>SUM(D24:D36)</f>
        <v>2608774.8311422146</v>
      </c>
      <c r="E37" s="951">
        <f>SUM(E24:E36)</f>
        <v>0</v>
      </c>
      <c r="F37" s="951">
        <f>SUM(F24:F36)</f>
        <v>0</v>
      </c>
      <c r="G37" s="951">
        <f>SUM(G24:G36)</f>
        <v>-6568.0795692425709</v>
      </c>
      <c r="H37" s="951">
        <f>SUM(H24:H36)</f>
        <v>-752.00172732273609</v>
      </c>
      <c r="I37" s="951">
        <f t="shared" ref="I37" si="4">SUM(I24:I36)</f>
        <v>0</v>
      </c>
      <c r="J37" s="951">
        <f>SUM(J24:J36)</f>
        <v>-35282.694450328112</v>
      </c>
      <c r="K37" s="235">
        <f>SUM(K24:K36)</f>
        <v>2566172.055395321</v>
      </c>
      <c r="L37" s="956" t="s">
        <v>1503</v>
      </c>
      <c r="M37" s="4">
        <f t="shared" si="1"/>
        <v>22</v>
      </c>
      <c r="N37" s="357"/>
    </row>
    <row r="38" spans="1:18" x14ac:dyDescent="0.25">
      <c r="A38" s="4">
        <f t="shared" si="0"/>
        <v>23</v>
      </c>
      <c r="B38" s="331"/>
      <c r="D38" s="31"/>
      <c r="L38" s="301"/>
      <c r="M38" s="4">
        <f t="shared" si="1"/>
        <v>23</v>
      </c>
      <c r="N38" s="357"/>
      <c r="O38"/>
      <c r="P38"/>
      <c r="Q38"/>
      <c r="R38"/>
    </row>
    <row r="39" spans="1:18" x14ac:dyDescent="0.25">
      <c r="A39" s="4">
        <f t="shared" si="0"/>
        <v>24</v>
      </c>
      <c r="B39" s="332" t="s">
        <v>332</v>
      </c>
      <c r="C39" s="957"/>
      <c r="D39" s="575">
        <f>D37+D22</f>
        <v>2608774.8311422146</v>
      </c>
      <c r="E39" s="575">
        <f>E37+E22</f>
        <v>1.038438492</v>
      </c>
      <c r="F39" s="575">
        <f>F37+F22</f>
        <v>937.61681561452497</v>
      </c>
      <c r="G39" s="575">
        <f>G37+G22</f>
        <v>-6568.0795692425709</v>
      </c>
      <c r="H39" s="575">
        <f>H37+H22</f>
        <v>-752.00172732273609</v>
      </c>
      <c r="I39" s="575">
        <f t="shared" ref="I39" si="5">I37+I22</f>
        <v>0</v>
      </c>
      <c r="J39" s="575">
        <f>J37+J22</f>
        <v>-35282.694450328112</v>
      </c>
      <c r="K39" s="575">
        <f>K37+K22</f>
        <v>2567110.7106494275</v>
      </c>
      <c r="L39" s="952" t="s">
        <v>1504</v>
      </c>
      <c r="M39" s="4">
        <f t="shared" si="1"/>
        <v>24</v>
      </c>
      <c r="N39" s="357"/>
      <c r="O39"/>
      <c r="P39"/>
      <c r="Q39"/>
      <c r="R39"/>
    </row>
    <row r="40" spans="1:18" x14ac:dyDescent="0.25">
      <c r="D40" s="31"/>
      <c r="K40" s="333"/>
      <c r="L40" s="333"/>
    </row>
    <row r="41" spans="1:18" x14ac:dyDescent="0.25">
      <c r="D41" s="31"/>
      <c r="K41" s="333"/>
      <c r="L41" s="333"/>
    </row>
    <row r="42" spans="1:18" x14ac:dyDescent="0.25">
      <c r="B42" s="31" t="s">
        <v>387</v>
      </c>
      <c r="D42" s="31"/>
    </row>
    <row r="43" spans="1:18" x14ac:dyDescent="0.25">
      <c r="D43" s="31"/>
    </row>
    <row r="44" spans="1:18" x14ac:dyDescent="0.25">
      <c r="D44" s="31"/>
    </row>
    <row r="45" spans="1:18" x14ac:dyDescent="0.25">
      <c r="D45" s="31"/>
    </row>
    <row r="46" spans="1:18" x14ac:dyDescent="0.25">
      <c r="D46" s="31"/>
    </row>
    <row r="47" spans="1:18" x14ac:dyDescent="0.25">
      <c r="D47" s="31"/>
    </row>
    <row r="48" spans="1:18" x14ac:dyDescent="0.25">
      <c r="D48" s="31"/>
    </row>
    <row r="49" spans="4:4" x14ac:dyDescent="0.25">
      <c r="D49" s="31"/>
    </row>
    <row r="50" spans="4:4" x14ac:dyDescent="0.25">
      <c r="D50" s="31"/>
    </row>
    <row r="51" spans="4:4" x14ac:dyDescent="0.25">
      <c r="D51" s="31"/>
    </row>
    <row r="52" spans="4:4" x14ac:dyDescent="0.25">
      <c r="D52" s="31"/>
    </row>
    <row r="53" spans="4:4" x14ac:dyDescent="0.25">
      <c r="D53" s="31"/>
    </row>
    <row r="54" spans="4:4" x14ac:dyDescent="0.25">
      <c r="D54" s="31"/>
    </row>
    <row r="55" spans="4:4" x14ac:dyDescent="0.25">
      <c r="D55" s="31"/>
    </row>
    <row r="56" spans="4:4" x14ac:dyDescent="0.25">
      <c r="D56" s="31"/>
    </row>
    <row r="57" spans="4:4" x14ac:dyDescent="0.25">
      <c r="D57" s="31"/>
    </row>
    <row r="58" spans="4:4" x14ac:dyDescent="0.25">
      <c r="D58" s="31"/>
    </row>
    <row r="59" spans="4:4" x14ac:dyDescent="0.25">
      <c r="D59" s="31"/>
    </row>
    <row r="60" spans="4:4" x14ac:dyDescent="0.25">
      <c r="D60" s="31"/>
    </row>
    <row r="61" spans="4:4" x14ac:dyDescent="0.25">
      <c r="D61" s="31"/>
    </row>
    <row r="62" spans="4:4" x14ac:dyDescent="0.25">
      <c r="D62" s="31"/>
    </row>
    <row r="63" spans="4:4" x14ac:dyDescent="0.25">
      <c r="D63" s="31"/>
    </row>
    <row r="64" spans="4:4" x14ac:dyDescent="0.25">
      <c r="D64" s="31"/>
    </row>
    <row r="65" spans="4:4" x14ac:dyDescent="0.25">
      <c r="D65" s="31"/>
    </row>
    <row r="66" spans="4:4" x14ac:dyDescent="0.25">
      <c r="D66" s="31"/>
    </row>
    <row r="67" spans="4:4" x14ac:dyDescent="0.25">
      <c r="D67" s="31"/>
    </row>
    <row r="68" spans="4:4" x14ac:dyDescent="0.25">
      <c r="D68" s="31"/>
    </row>
    <row r="69" spans="4:4" x14ac:dyDescent="0.25">
      <c r="D69" s="31"/>
    </row>
    <row r="70" spans="4:4" x14ac:dyDescent="0.25">
      <c r="D70" s="31"/>
    </row>
    <row r="71" spans="4:4" x14ac:dyDescent="0.25">
      <c r="D71" s="31"/>
    </row>
    <row r="72" spans="4:4" x14ac:dyDescent="0.25">
      <c r="D72" s="31"/>
    </row>
    <row r="73" spans="4:4" x14ac:dyDescent="0.25">
      <c r="D73" s="31"/>
    </row>
    <row r="74" spans="4:4" x14ac:dyDescent="0.25">
      <c r="D74" s="31"/>
    </row>
    <row r="75" spans="4:4" x14ac:dyDescent="0.25">
      <c r="D75" s="31"/>
    </row>
    <row r="76" spans="4:4" x14ac:dyDescent="0.25">
      <c r="D76" s="31"/>
    </row>
    <row r="77" spans="4:4" x14ac:dyDescent="0.25">
      <c r="D77" s="31"/>
    </row>
    <row r="78" spans="4:4" x14ac:dyDescent="0.25">
      <c r="D78" s="31"/>
    </row>
    <row r="79" spans="4:4" x14ac:dyDescent="0.25">
      <c r="D79" s="31"/>
    </row>
    <row r="80" spans="4:4" x14ac:dyDescent="0.25">
      <c r="D80" s="31"/>
    </row>
    <row r="81" spans="4:4" x14ac:dyDescent="0.25">
      <c r="D81" s="31"/>
    </row>
    <row r="82" spans="4:4" x14ac:dyDescent="0.25">
      <c r="D82" s="31"/>
    </row>
    <row r="83" spans="4:4" x14ac:dyDescent="0.25">
      <c r="D83" s="31"/>
    </row>
    <row r="84" spans="4:4" x14ac:dyDescent="0.25">
      <c r="D84" s="31"/>
    </row>
    <row r="85" spans="4:4" x14ac:dyDescent="0.25">
      <c r="D85" s="31"/>
    </row>
    <row r="86" spans="4:4" x14ac:dyDescent="0.25">
      <c r="D86" s="31"/>
    </row>
    <row r="87" spans="4:4" x14ac:dyDescent="0.25">
      <c r="D87" s="31"/>
    </row>
    <row r="88" spans="4:4" x14ac:dyDescent="0.25">
      <c r="D88" s="31"/>
    </row>
    <row r="89" spans="4:4" x14ac:dyDescent="0.25">
      <c r="D89" s="31"/>
    </row>
    <row r="90" spans="4:4" x14ac:dyDescent="0.25">
      <c r="D90" s="31"/>
    </row>
    <row r="91" spans="4:4" x14ac:dyDescent="0.25">
      <c r="D91" s="31"/>
    </row>
    <row r="92" spans="4:4" x14ac:dyDescent="0.25">
      <c r="D92" s="31"/>
    </row>
    <row r="93" spans="4:4" x14ac:dyDescent="0.25">
      <c r="D93" s="31"/>
    </row>
    <row r="94" spans="4:4" x14ac:dyDescent="0.25">
      <c r="D94" s="31"/>
    </row>
    <row r="95" spans="4:4" x14ac:dyDescent="0.25">
      <c r="D95" s="31"/>
    </row>
    <row r="96" spans="4:4" x14ac:dyDescent="0.25">
      <c r="D96" s="31"/>
    </row>
    <row r="97" spans="4:4" x14ac:dyDescent="0.25">
      <c r="D97" s="31"/>
    </row>
    <row r="98" spans="4:4" x14ac:dyDescent="0.25">
      <c r="D98" s="31"/>
    </row>
    <row r="99" spans="4:4" x14ac:dyDescent="0.25">
      <c r="D99" s="31"/>
    </row>
    <row r="100" spans="4:4" x14ac:dyDescent="0.25">
      <c r="D100" s="31"/>
    </row>
    <row r="101" spans="4:4" x14ac:dyDescent="0.25">
      <c r="D101" s="31"/>
    </row>
    <row r="102" spans="4:4" x14ac:dyDescent="0.25">
      <c r="D102" s="31"/>
    </row>
    <row r="103" spans="4:4" x14ac:dyDescent="0.25">
      <c r="D103" s="31"/>
    </row>
    <row r="104" spans="4:4" x14ac:dyDescent="0.25">
      <c r="D104" s="31"/>
    </row>
    <row r="105" spans="4:4" x14ac:dyDescent="0.25">
      <c r="D105" s="31"/>
    </row>
    <row r="106" spans="4:4" x14ac:dyDescent="0.25">
      <c r="D106" s="31"/>
    </row>
    <row r="107" spans="4:4" x14ac:dyDescent="0.25">
      <c r="D107" s="31"/>
    </row>
    <row r="108" spans="4:4" x14ac:dyDescent="0.25">
      <c r="D108" s="31"/>
    </row>
    <row r="109" spans="4:4" x14ac:dyDescent="0.25">
      <c r="D109" s="31"/>
    </row>
    <row r="110" spans="4:4" x14ac:dyDescent="0.25">
      <c r="D110" s="31"/>
    </row>
    <row r="111" spans="4:4" x14ac:dyDescent="0.25">
      <c r="D111" s="31"/>
    </row>
    <row r="112" spans="4:4" x14ac:dyDescent="0.25">
      <c r="D112" s="31"/>
    </row>
    <row r="113" spans="4:4" x14ac:dyDescent="0.25">
      <c r="D113" s="31"/>
    </row>
    <row r="114" spans="4:4" x14ac:dyDescent="0.25">
      <c r="D114" s="31"/>
    </row>
    <row r="115" spans="4:4" x14ac:dyDescent="0.25">
      <c r="D115" s="31"/>
    </row>
    <row r="116" spans="4:4" x14ac:dyDescent="0.25">
      <c r="D116" s="31"/>
    </row>
    <row r="117" spans="4:4" x14ac:dyDescent="0.25">
      <c r="D117" s="31"/>
    </row>
    <row r="118" spans="4:4" x14ac:dyDescent="0.25">
      <c r="D118" s="31"/>
    </row>
    <row r="119" spans="4:4" x14ac:dyDescent="0.25">
      <c r="D119" s="31"/>
    </row>
    <row r="120" spans="4:4" x14ac:dyDescent="0.25">
      <c r="D120" s="31"/>
    </row>
    <row r="121" spans="4:4" x14ac:dyDescent="0.25">
      <c r="D121" s="31"/>
    </row>
    <row r="122" spans="4:4" x14ac:dyDescent="0.25">
      <c r="D122" s="31"/>
    </row>
    <row r="123" spans="4:4" x14ac:dyDescent="0.25">
      <c r="D123" s="31"/>
    </row>
    <row r="124" spans="4:4" x14ac:dyDescent="0.25">
      <c r="D124" s="31"/>
    </row>
    <row r="125" spans="4:4" x14ac:dyDescent="0.25">
      <c r="D125" s="31"/>
    </row>
    <row r="126" spans="4:4" x14ac:dyDescent="0.25">
      <c r="D126" s="31"/>
    </row>
    <row r="127" spans="4:4" x14ac:dyDescent="0.25">
      <c r="D127" s="31"/>
    </row>
    <row r="128" spans="4:4" x14ac:dyDescent="0.25">
      <c r="D128" s="31"/>
    </row>
    <row r="129" spans="4:4" x14ac:dyDescent="0.25">
      <c r="D129" s="31"/>
    </row>
    <row r="130" spans="4:4" x14ac:dyDescent="0.25">
      <c r="D130" s="31"/>
    </row>
    <row r="131" spans="4:4" x14ac:dyDescent="0.25">
      <c r="D131" s="31"/>
    </row>
    <row r="132" spans="4:4" x14ac:dyDescent="0.25">
      <c r="D132" s="31"/>
    </row>
    <row r="133" spans="4:4" x14ac:dyDescent="0.25">
      <c r="D133" s="31"/>
    </row>
    <row r="134" spans="4:4" x14ac:dyDescent="0.25">
      <c r="D134" s="31"/>
    </row>
    <row r="135" spans="4:4" x14ac:dyDescent="0.25">
      <c r="D135" s="31"/>
    </row>
    <row r="136" spans="4:4" x14ac:dyDescent="0.25">
      <c r="D136" s="31"/>
    </row>
    <row r="137" spans="4:4" x14ac:dyDescent="0.25">
      <c r="D137" s="31"/>
    </row>
    <row r="138" spans="4:4" x14ac:dyDescent="0.25">
      <c r="D138" s="31"/>
    </row>
    <row r="139" spans="4:4" x14ac:dyDescent="0.25">
      <c r="D139" s="31"/>
    </row>
    <row r="140" spans="4:4" x14ac:dyDescent="0.25">
      <c r="D140" s="31"/>
    </row>
    <row r="141" spans="4:4" x14ac:dyDescent="0.25">
      <c r="D141" s="31"/>
    </row>
    <row r="142" spans="4:4" x14ac:dyDescent="0.25">
      <c r="D142" s="31"/>
    </row>
    <row r="143" spans="4:4" x14ac:dyDescent="0.25">
      <c r="D143" s="31"/>
    </row>
    <row r="144" spans="4:4" x14ac:dyDescent="0.25">
      <c r="D144" s="31"/>
    </row>
    <row r="145" spans="4:4" x14ac:dyDescent="0.25">
      <c r="D145" s="31"/>
    </row>
    <row r="146" spans="4:4" x14ac:dyDescent="0.25">
      <c r="D146" s="31"/>
    </row>
    <row r="147" spans="4:4" x14ac:dyDescent="0.25">
      <c r="D147" s="31"/>
    </row>
    <row r="148" spans="4:4" x14ac:dyDescent="0.25">
      <c r="D148" s="31"/>
    </row>
    <row r="149" spans="4:4" x14ac:dyDescent="0.25">
      <c r="D149" s="31"/>
    </row>
    <row r="150" spans="4:4" x14ac:dyDescent="0.25">
      <c r="D150" s="31"/>
    </row>
    <row r="151" spans="4:4" x14ac:dyDescent="0.25">
      <c r="D151" s="31"/>
    </row>
    <row r="152" spans="4:4" x14ac:dyDescent="0.25">
      <c r="D152" s="31"/>
    </row>
    <row r="153" spans="4:4" x14ac:dyDescent="0.25">
      <c r="D153" s="31"/>
    </row>
    <row r="154" spans="4:4" x14ac:dyDescent="0.25">
      <c r="D154" s="31"/>
    </row>
    <row r="155" spans="4:4" x14ac:dyDescent="0.25">
      <c r="D155" s="31"/>
    </row>
    <row r="156" spans="4:4" x14ac:dyDescent="0.25">
      <c r="D156" s="31"/>
    </row>
    <row r="157" spans="4:4" x14ac:dyDescent="0.25">
      <c r="D157" s="31"/>
    </row>
    <row r="158" spans="4:4" x14ac:dyDescent="0.25">
      <c r="D158" s="31"/>
    </row>
    <row r="159" spans="4:4" x14ac:dyDescent="0.25">
      <c r="D159" s="31"/>
    </row>
    <row r="160" spans="4:4" x14ac:dyDescent="0.25">
      <c r="D160" s="31"/>
    </row>
    <row r="161" spans="4:4" x14ac:dyDescent="0.25">
      <c r="D161" s="31"/>
    </row>
    <row r="162" spans="4:4" x14ac:dyDescent="0.25">
      <c r="D162" s="31"/>
    </row>
    <row r="163" spans="4:4" x14ac:dyDescent="0.25">
      <c r="D163" s="31"/>
    </row>
    <row r="164" spans="4:4" x14ac:dyDescent="0.25">
      <c r="D164" s="31"/>
    </row>
    <row r="165" spans="4:4" x14ac:dyDescent="0.25">
      <c r="D165" s="31"/>
    </row>
    <row r="166" spans="4:4" x14ac:dyDescent="0.25">
      <c r="D166" s="31"/>
    </row>
    <row r="167" spans="4:4" x14ac:dyDescent="0.25">
      <c r="D167" s="31"/>
    </row>
    <row r="168" spans="4:4" x14ac:dyDescent="0.25">
      <c r="D168" s="31"/>
    </row>
    <row r="169" spans="4:4" x14ac:dyDescent="0.25">
      <c r="D169" s="31"/>
    </row>
    <row r="170" spans="4:4" x14ac:dyDescent="0.25">
      <c r="D170" s="31"/>
    </row>
    <row r="171" spans="4:4" x14ac:dyDescent="0.25">
      <c r="D171" s="31"/>
    </row>
    <row r="172" spans="4:4" x14ac:dyDescent="0.25">
      <c r="D172" s="31"/>
    </row>
    <row r="173" spans="4:4" x14ac:dyDescent="0.25">
      <c r="D173" s="31"/>
    </row>
    <row r="174" spans="4:4" x14ac:dyDescent="0.25">
      <c r="D174" s="31"/>
    </row>
  </sheetData>
  <mergeCells count="6">
    <mergeCell ref="B7:L7"/>
    <mergeCell ref="B2:L2"/>
    <mergeCell ref="B3:L3"/>
    <mergeCell ref="B4:L4"/>
    <mergeCell ref="B5:L5"/>
    <mergeCell ref="B6:L6"/>
  </mergeCells>
  <printOptions horizontalCentered="1"/>
  <pageMargins left="0.5" right="0.5" top="0.5" bottom="0.5" header="0.25" footer="0.25"/>
  <pageSetup scale="56" orientation="landscape" r:id="rId1"/>
  <headerFooter scaleWithDoc="0">
    <oddFooter>&amp;C&amp;"Times New Roman,Regular"&amp;10&amp;A</oddFoot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U55"/>
  <sheetViews>
    <sheetView zoomScale="80" zoomScaleNormal="80" workbookViewId="0">
      <selection activeCell="O37" sqref="O37"/>
    </sheetView>
  </sheetViews>
  <sheetFormatPr defaultColWidth="15.42578125" defaultRowHeight="15.75" x14ac:dyDescent="0.25"/>
  <cols>
    <col min="1" max="1" width="5.28515625" style="4" customWidth="1"/>
    <col min="2" max="2" width="94" style="31" customWidth="1"/>
    <col min="3" max="3" width="10.42578125" style="31" customWidth="1"/>
    <col min="4" max="4" width="1.5703125" style="31" customWidth="1"/>
    <col min="5" max="5" width="16.7109375" style="31" customWidth="1"/>
    <col min="6" max="6" width="1.5703125" style="31" customWidth="1"/>
    <col min="7" max="7" width="15.7109375" style="31" customWidth="1"/>
    <col min="8" max="8" width="15.5703125" style="31" customWidth="1"/>
    <col min="9" max="9" width="41" style="31" customWidth="1"/>
    <col min="10" max="10" width="5.28515625" style="4" bestFit="1" customWidth="1"/>
    <col min="11" max="11" width="5.28515625" style="4" customWidth="1"/>
    <col min="12" max="12" width="11.42578125" style="31" bestFit="1" customWidth="1"/>
    <col min="13" max="13" width="15.42578125" style="31"/>
    <col min="14" max="14" width="2.28515625" style="31" customWidth="1"/>
    <col min="15" max="16" width="15.42578125" style="31"/>
    <col min="17" max="17" width="4.28515625" style="31" customWidth="1"/>
    <col min="18" max="18" width="15.42578125" style="31"/>
    <col min="19" max="19" width="2.5703125" style="31" customWidth="1"/>
    <col min="20" max="16384" width="15.42578125" style="31"/>
  </cols>
  <sheetData>
    <row r="2" spans="1:21" x14ac:dyDescent="0.25">
      <c r="B2" s="1316" t="s">
        <v>0</v>
      </c>
      <c r="C2" s="1316"/>
      <c r="D2" s="1316"/>
      <c r="E2" s="1313"/>
      <c r="F2" s="1313"/>
      <c r="G2" s="1313"/>
      <c r="H2" s="1313"/>
      <c r="I2" s="1313"/>
    </row>
    <row r="3" spans="1:21" x14ac:dyDescent="0.25">
      <c r="B3" s="1316" t="s">
        <v>178</v>
      </c>
      <c r="C3" s="1316"/>
      <c r="D3" s="1316"/>
      <c r="E3" s="1313"/>
      <c r="F3" s="1313"/>
      <c r="G3" s="1313"/>
      <c r="H3" s="1313"/>
      <c r="I3" s="1313"/>
    </row>
    <row r="4" spans="1:21" ht="17.25" x14ac:dyDescent="0.25">
      <c r="B4" s="1316" t="s">
        <v>179</v>
      </c>
      <c r="C4" s="1316"/>
      <c r="D4" s="1316"/>
      <c r="E4" s="1313"/>
      <c r="F4" s="1313"/>
      <c r="G4" s="1313"/>
      <c r="H4" s="1313"/>
      <c r="I4" s="1313"/>
    </row>
    <row r="5" spans="1:21" x14ac:dyDescent="0.25">
      <c r="B5" s="1318" t="str">
        <f>'BK-1 BTRR - EU'!B309:G309</f>
        <v>For the Rate Effective Period January 1, 2027 - December 31, 2027</v>
      </c>
      <c r="C5" s="1318"/>
      <c r="D5" s="1318"/>
      <c r="E5" s="1319"/>
      <c r="F5" s="1319"/>
      <c r="G5" s="1319"/>
      <c r="H5" s="1319"/>
      <c r="I5" s="1319"/>
    </row>
    <row r="6" spans="1:21" x14ac:dyDescent="0.25">
      <c r="B6" s="1312" t="s">
        <v>4</v>
      </c>
      <c r="C6" s="1312"/>
      <c r="D6" s="1312"/>
      <c r="E6" s="1313"/>
      <c r="F6" s="1313"/>
      <c r="G6" s="1313"/>
      <c r="H6" s="1313"/>
      <c r="I6" s="1313"/>
    </row>
    <row r="7" spans="1:21" x14ac:dyDescent="0.25">
      <c r="B7" s="33"/>
      <c r="C7" s="33"/>
      <c r="D7" s="33"/>
      <c r="E7" s="10"/>
      <c r="H7" s="32"/>
      <c r="I7" s="4"/>
    </row>
    <row r="8" spans="1:21" x14ac:dyDescent="0.25">
      <c r="A8" s="4" t="s">
        <v>5</v>
      </c>
      <c r="B8" s="33"/>
      <c r="C8" s="33"/>
      <c r="D8" s="33"/>
      <c r="E8" s="10"/>
      <c r="H8" s="32"/>
      <c r="I8" s="4"/>
      <c r="J8" s="4" t="s">
        <v>5</v>
      </c>
      <c r="M8"/>
      <c r="N8"/>
      <c r="O8"/>
      <c r="P8"/>
      <c r="Q8"/>
      <c r="R8"/>
      <c r="S8"/>
      <c r="T8"/>
      <c r="U8"/>
    </row>
    <row r="9" spans="1:21" x14ac:dyDescent="0.25">
      <c r="A9" s="4" t="s">
        <v>6</v>
      </c>
      <c r="B9" s="33"/>
      <c r="C9" s="253"/>
      <c r="D9" s="253"/>
      <c r="E9" s="916" t="s">
        <v>180</v>
      </c>
      <c r="G9" s="1322" t="s">
        <v>8</v>
      </c>
      <c r="H9" s="1322"/>
      <c r="I9" s="917"/>
      <c r="J9" s="4" t="s">
        <v>6</v>
      </c>
      <c r="M9"/>
      <c r="N9"/>
      <c r="O9"/>
      <c r="P9"/>
      <c r="Q9"/>
      <c r="R9"/>
      <c r="S9"/>
      <c r="T9"/>
      <c r="U9"/>
    </row>
    <row r="10" spans="1:21" x14ac:dyDescent="0.25">
      <c r="B10" s="33" t="s">
        <v>2009</v>
      </c>
      <c r="C10" s="33"/>
      <c r="D10" s="33"/>
      <c r="E10" s="44"/>
      <c r="G10" s="4"/>
      <c r="H10" s="32"/>
      <c r="M10"/>
      <c r="N10"/>
      <c r="O10"/>
      <c r="P10"/>
      <c r="Q10"/>
      <c r="R10"/>
      <c r="S10"/>
      <c r="T10"/>
      <c r="U10"/>
    </row>
    <row r="11" spans="1:21" ht="18.75" x14ac:dyDescent="0.25">
      <c r="A11" s="4">
        <v>1</v>
      </c>
      <c r="B11" s="31" t="s">
        <v>2010</v>
      </c>
      <c r="E11" s="7">
        <f>'BK-1 BTRR - EU'!E331</f>
        <v>1327005.3433790973</v>
      </c>
      <c r="F11" s="217"/>
      <c r="G11" s="1321" t="s">
        <v>181</v>
      </c>
      <c r="H11" s="1321"/>
      <c r="I11" s="32"/>
      <c r="J11" s="4">
        <f>A11</f>
        <v>1</v>
      </c>
      <c r="M11"/>
      <c r="N11"/>
      <c r="O11"/>
      <c r="P11"/>
      <c r="Q11"/>
      <c r="R11"/>
      <c r="S11"/>
      <c r="T11"/>
      <c r="U11"/>
    </row>
    <row r="12" spans="1:21" x14ac:dyDescent="0.25">
      <c r="A12" s="4">
        <f>A11+1</f>
        <v>2</v>
      </c>
      <c r="B12" s="32"/>
      <c r="C12" s="32"/>
      <c r="D12" s="32"/>
      <c r="G12" s="32"/>
      <c r="H12" s="32"/>
      <c r="I12" s="32"/>
      <c r="J12" s="4">
        <f>J11+1</f>
        <v>2</v>
      </c>
      <c r="M12"/>
      <c r="N12"/>
      <c r="O12"/>
      <c r="P12"/>
      <c r="Q12"/>
      <c r="R12"/>
      <c r="S12"/>
      <c r="T12"/>
      <c r="U12"/>
    </row>
    <row r="13" spans="1:21" x14ac:dyDescent="0.25">
      <c r="A13" s="4">
        <f t="shared" ref="A13:A44" si="0">A12+1</f>
        <v>3</v>
      </c>
      <c r="B13" s="32" t="s">
        <v>182</v>
      </c>
      <c r="C13" s="32"/>
      <c r="D13" s="32"/>
      <c r="E13" s="8">
        <f>-'BK-1 BTRR - EU'!E15</f>
        <v>0</v>
      </c>
      <c r="G13" s="1321" t="s">
        <v>183</v>
      </c>
      <c r="H13" s="1321"/>
      <c r="I13" s="1321"/>
      <c r="J13" s="4">
        <f t="shared" ref="J13:J44" si="1">J12+1</f>
        <v>3</v>
      </c>
      <c r="M13"/>
      <c r="N13"/>
      <c r="O13"/>
      <c r="P13"/>
      <c r="Q13"/>
      <c r="R13"/>
      <c r="S13"/>
      <c r="T13"/>
      <c r="U13"/>
    </row>
    <row r="14" spans="1:21" x14ac:dyDescent="0.25">
      <c r="A14" s="4">
        <f t="shared" si="0"/>
        <v>4</v>
      </c>
      <c r="B14" s="32"/>
      <c r="C14" s="32"/>
      <c r="D14" s="32"/>
      <c r="E14" s="8"/>
      <c r="G14" s="32"/>
      <c r="H14" s="32"/>
      <c r="I14" s="32"/>
      <c r="J14" s="4">
        <f t="shared" si="1"/>
        <v>4</v>
      </c>
      <c r="M14"/>
      <c r="N14"/>
      <c r="O14"/>
      <c r="P14"/>
      <c r="Q14"/>
      <c r="R14"/>
      <c r="S14"/>
      <c r="T14"/>
      <c r="U14"/>
    </row>
    <row r="15" spans="1:21" x14ac:dyDescent="0.25">
      <c r="A15" s="4">
        <f t="shared" si="0"/>
        <v>5</v>
      </c>
      <c r="B15" s="31" t="s">
        <v>2011</v>
      </c>
      <c r="C15" s="32"/>
      <c r="D15" s="32"/>
      <c r="E15" s="8">
        <f>'Stmt AL'!E42</f>
        <v>0</v>
      </c>
      <c r="G15" s="31" t="s">
        <v>1876</v>
      </c>
      <c r="I15" s="32"/>
      <c r="J15" s="4">
        <f t="shared" si="1"/>
        <v>5</v>
      </c>
      <c r="M15"/>
      <c r="N15"/>
      <c r="O15"/>
      <c r="P15"/>
      <c r="Q15"/>
      <c r="R15"/>
      <c r="S15"/>
      <c r="T15"/>
      <c r="U15"/>
    </row>
    <row r="16" spans="1:21" x14ac:dyDescent="0.25">
      <c r="A16" s="4">
        <f t="shared" si="0"/>
        <v>6</v>
      </c>
      <c r="B16" s="413"/>
      <c r="C16" s="32"/>
      <c r="D16" s="32"/>
      <c r="E16" s="8"/>
      <c r="I16" s="32"/>
      <c r="J16" s="4">
        <f t="shared" si="1"/>
        <v>6</v>
      </c>
      <c r="M16"/>
      <c r="N16"/>
      <c r="O16"/>
      <c r="P16"/>
      <c r="Q16"/>
      <c r="R16"/>
      <c r="S16"/>
      <c r="T16"/>
      <c r="U16"/>
    </row>
    <row r="17" spans="1:21" x14ac:dyDescent="0.25">
      <c r="A17" s="4">
        <f t="shared" si="0"/>
        <v>7</v>
      </c>
      <c r="B17" s="31" t="s">
        <v>2012</v>
      </c>
      <c r="C17" s="32"/>
      <c r="D17" s="32"/>
      <c r="E17" s="8">
        <f>'Stmt AL'!E46</f>
        <v>0</v>
      </c>
      <c r="G17" s="31" t="s">
        <v>1877</v>
      </c>
      <c r="I17" s="32"/>
      <c r="J17" s="4">
        <f t="shared" si="1"/>
        <v>7</v>
      </c>
      <c r="M17"/>
      <c r="N17"/>
      <c r="O17"/>
      <c r="P17"/>
      <c r="Q17"/>
      <c r="R17"/>
      <c r="S17"/>
      <c r="T17"/>
      <c r="U17"/>
    </row>
    <row r="18" spans="1:21" x14ac:dyDescent="0.25">
      <c r="A18" s="4">
        <f t="shared" si="0"/>
        <v>8</v>
      </c>
      <c r="B18" s="413"/>
      <c r="C18" s="32"/>
      <c r="D18" s="32"/>
      <c r="E18" s="8"/>
      <c r="I18" s="32"/>
      <c r="J18" s="4">
        <f t="shared" si="1"/>
        <v>8</v>
      </c>
      <c r="M18"/>
      <c r="N18"/>
      <c r="O18"/>
      <c r="P18"/>
      <c r="Q18"/>
      <c r="R18"/>
      <c r="S18"/>
      <c r="T18"/>
      <c r="U18"/>
    </row>
    <row r="19" spans="1:21" x14ac:dyDescent="0.25">
      <c r="A19" s="4">
        <f t="shared" si="0"/>
        <v>9</v>
      </c>
      <c r="B19" s="32" t="s">
        <v>184</v>
      </c>
      <c r="C19" s="32"/>
      <c r="D19" s="32"/>
      <c r="E19" s="8">
        <f>-'Stmt AQ'!E11</f>
        <v>-1304.0991895338727</v>
      </c>
      <c r="G19" s="31" t="s">
        <v>185</v>
      </c>
      <c r="I19" s="32"/>
      <c r="J19" s="4">
        <f t="shared" si="1"/>
        <v>9</v>
      </c>
      <c r="M19"/>
      <c r="N19"/>
      <c r="O19"/>
      <c r="P19"/>
      <c r="Q19"/>
      <c r="R19"/>
      <c r="S19"/>
      <c r="T19"/>
      <c r="U19"/>
    </row>
    <row r="20" spans="1:21" x14ac:dyDescent="0.25">
      <c r="A20" s="4">
        <f t="shared" si="0"/>
        <v>10</v>
      </c>
      <c r="C20" s="32"/>
      <c r="D20" s="32"/>
      <c r="E20" s="8"/>
      <c r="I20" s="32"/>
      <c r="J20" s="4">
        <f t="shared" si="1"/>
        <v>10</v>
      </c>
      <c r="K20" s="357"/>
      <c r="M20"/>
      <c r="N20"/>
      <c r="O20"/>
      <c r="P20"/>
      <c r="Q20"/>
      <c r="R20"/>
      <c r="S20"/>
      <c r="T20"/>
      <c r="U20"/>
    </row>
    <row r="21" spans="1:21" x14ac:dyDescent="0.25">
      <c r="A21" s="4">
        <f t="shared" si="0"/>
        <v>11</v>
      </c>
      <c r="B21" s="31" t="s">
        <v>1771</v>
      </c>
      <c r="C21" s="32"/>
      <c r="D21" s="32"/>
      <c r="E21" s="1175">
        <f>-66.242</f>
        <v>-66.242000000000004</v>
      </c>
      <c r="G21" s="31" t="s">
        <v>263</v>
      </c>
      <c r="I21" s="32"/>
      <c r="J21" s="4">
        <f t="shared" si="1"/>
        <v>11</v>
      </c>
      <c r="K21" s="357"/>
      <c r="M21"/>
      <c r="N21"/>
      <c r="O21"/>
      <c r="P21"/>
      <c r="Q21"/>
      <c r="R21"/>
      <c r="S21"/>
      <c r="T21"/>
      <c r="U21"/>
    </row>
    <row r="22" spans="1:21" x14ac:dyDescent="0.25">
      <c r="A22" s="4">
        <f t="shared" si="0"/>
        <v>12</v>
      </c>
      <c r="E22" s="10"/>
      <c r="G22" s="32"/>
      <c r="H22" s="32"/>
      <c r="I22" s="32"/>
      <c r="J22" s="4">
        <f t="shared" si="1"/>
        <v>12</v>
      </c>
      <c r="K22" s="357"/>
      <c r="L22" s="254"/>
      <c r="M22"/>
      <c r="N22"/>
      <c r="O22"/>
      <c r="P22"/>
      <c r="Q22"/>
      <c r="R22"/>
      <c r="S22"/>
      <c r="T22"/>
      <c r="U22"/>
    </row>
    <row r="23" spans="1:21" ht="19.5" thickBot="1" x14ac:dyDescent="0.3">
      <c r="A23" s="4">
        <f t="shared" si="0"/>
        <v>13</v>
      </c>
      <c r="B23" s="31" t="s">
        <v>2013</v>
      </c>
      <c r="E23" s="24">
        <f>SUM(E11:E21)</f>
        <v>1325635.0021895634</v>
      </c>
      <c r="F23" s="217"/>
      <c r="G23" s="1321" t="s">
        <v>621</v>
      </c>
      <c r="H23" s="1321"/>
      <c r="I23" s="32"/>
      <c r="J23" s="4">
        <f t="shared" si="1"/>
        <v>13</v>
      </c>
      <c r="K23" s="357"/>
      <c r="M23"/>
      <c r="N23"/>
      <c r="O23"/>
      <c r="P23"/>
      <c r="Q23"/>
      <c r="R23"/>
      <c r="S23"/>
      <c r="T23"/>
      <c r="U23"/>
    </row>
    <row r="24" spans="1:21" ht="16.5" thickTop="1" x14ac:dyDescent="0.25">
      <c r="A24" s="4">
        <f t="shared" si="0"/>
        <v>14</v>
      </c>
      <c r="B24" s="33"/>
      <c r="C24" s="33"/>
      <c r="D24" s="33"/>
      <c r="E24" s="10"/>
      <c r="G24" s="621"/>
      <c r="H24" s="621"/>
      <c r="I24" s="4"/>
      <c r="J24" s="4">
        <f t="shared" si="1"/>
        <v>14</v>
      </c>
      <c r="K24" s="357"/>
      <c r="M24"/>
      <c r="N24"/>
      <c r="O24"/>
      <c r="P24"/>
      <c r="Q24"/>
      <c r="R24"/>
      <c r="S24"/>
      <c r="T24"/>
      <c r="U24"/>
    </row>
    <row r="25" spans="1:21" ht="18.75" x14ac:dyDescent="0.25">
      <c r="A25" s="4">
        <f t="shared" si="0"/>
        <v>15</v>
      </c>
      <c r="B25" s="33" t="s">
        <v>186</v>
      </c>
      <c r="C25" s="33"/>
      <c r="D25" s="33"/>
      <c r="E25" s="34" t="s">
        <v>187</v>
      </c>
      <c r="F25" s="4"/>
      <c r="G25" s="4" t="s">
        <v>188</v>
      </c>
      <c r="H25" s="4" t="s">
        <v>189</v>
      </c>
      <c r="I25" s="4"/>
      <c r="J25" s="4">
        <f t="shared" si="1"/>
        <v>15</v>
      </c>
      <c r="K25" s="357"/>
      <c r="M25"/>
      <c r="N25"/>
      <c r="O25"/>
      <c r="P25"/>
      <c r="Q25"/>
      <c r="R25"/>
      <c r="S25"/>
      <c r="T25"/>
      <c r="U25"/>
    </row>
    <row r="26" spans="1:21" x14ac:dyDescent="0.25">
      <c r="A26" s="4">
        <f t="shared" si="0"/>
        <v>16</v>
      </c>
      <c r="B26" s="1" t="s">
        <v>190</v>
      </c>
      <c r="C26" s="1"/>
      <c r="D26" s="1"/>
      <c r="E26" s="848" t="s">
        <v>180</v>
      </c>
      <c r="F26" s="4"/>
      <c r="G26" s="848" t="s">
        <v>191</v>
      </c>
      <c r="H26" s="848" t="s">
        <v>192</v>
      </c>
      <c r="I26" s="848" t="s">
        <v>8</v>
      </c>
      <c r="J26" s="4">
        <f t="shared" si="1"/>
        <v>16</v>
      </c>
      <c r="K26" s="357"/>
      <c r="M26"/>
      <c r="N26"/>
      <c r="O26"/>
      <c r="P26"/>
      <c r="Q26"/>
      <c r="R26"/>
      <c r="S26"/>
      <c r="T26"/>
      <c r="U26"/>
    </row>
    <row r="27" spans="1:21" x14ac:dyDescent="0.25">
      <c r="A27" s="4">
        <f t="shared" si="0"/>
        <v>17</v>
      </c>
      <c r="B27" s="1" t="s">
        <v>193</v>
      </c>
      <c r="C27" s="1"/>
      <c r="D27" s="1"/>
      <c r="I27" s="4"/>
      <c r="J27" s="4">
        <f t="shared" si="1"/>
        <v>17</v>
      </c>
      <c r="K27" s="357"/>
      <c r="L27" s="254"/>
      <c r="M27"/>
      <c r="N27"/>
      <c r="O27"/>
      <c r="P27"/>
      <c r="Q27"/>
      <c r="R27"/>
      <c r="S27"/>
      <c r="T27"/>
      <c r="U27"/>
    </row>
    <row r="28" spans="1:21" ht="31.5" x14ac:dyDescent="0.25">
      <c r="A28" s="4">
        <f t="shared" si="0"/>
        <v>18</v>
      </c>
      <c r="B28" s="31" t="s">
        <v>194</v>
      </c>
      <c r="E28" s="27">
        <f>G28+H28</f>
        <v>1</v>
      </c>
      <c r="F28" s="27"/>
      <c r="G28" s="1144">
        <f>'HV-LV Plant Study'!F44</f>
        <v>0.45851866068742281</v>
      </c>
      <c r="H28" s="1144">
        <f>'HV-LV Plant Study'!E44</f>
        <v>0.54148133931257714</v>
      </c>
      <c r="I28" s="90" t="s">
        <v>1611</v>
      </c>
      <c r="J28" s="4">
        <f t="shared" si="1"/>
        <v>18</v>
      </c>
      <c r="K28" s="357"/>
      <c r="L28" s="254"/>
      <c r="M28"/>
      <c r="N28"/>
      <c r="O28"/>
      <c r="P28"/>
      <c r="Q28"/>
      <c r="R28"/>
      <c r="S28"/>
      <c r="T28"/>
      <c r="U28"/>
    </row>
    <row r="29" spans="1:21" x14ac:dyDescent="0.25">
      <c r="A29" s="4">
        <f t="shared" si="0"/>
        <v>19</v>
      </c>
      <c r="B29" s="31" t="s">
        <v>195</v>
      </c>
      <c r="E29" s="908">
        <f>E23-E33</f>
        <v>1202822.7949324886</v>
      </c>
      <c r="F29" s="4"/>
      <c r="G29" s="908">
        <f>G28*E29</f>
        <v>551516.69697674725</v>
      </c>
      <c r="H29" s="908">
        <f>H28*E29</f>
        <v>651306.09795574122</v>
      </c>
      <c r="I29" s="4" t="s">
        <v>1704</v>
      </c>
      <c r="J29" s="4">
        <f t="shared" si="1"/>
        <v>19</v>
      </c>
      <c r="K29" s="357"/>
      <c r="M29"/>
      <c r="N29"/>
      <c r="O29"/>
      <c r="P29"/>
      <c r="Q29"/>
      <c r="R29"/>
      <c r="S29"/>
      <c r="T29"/>
      <c r="U29"/>
    </row>
    <row r="30" spans="1:21" x14ac:dyDescent="0.25">
      <c r="A30" s="4">
        <f t="shared" si="0"/>
        <v>20</v>
      </c>
      <c r="E30" s="35"/>
      <c r="G30" s="35"/>
      <c r="H30" s="10"/>
      <c r="I30" s="4" t="s">
        <v>1705</v>
      </c>
      <c r="J30" s="4">
        <f t="shared" si="1"/>
        <v>20</v>
      </c>
      <c r="K30" s="357"/>
      <c r="M30"/>
      <c r="N30"/>
      <c r="O30"/>
      <c r="P30"/>
      <c r="Q30"/>
      <c r="R30"/>
      <c r="S30"/>
      <c r="T30"/>
      <c r="U30"/>
    </row>
    <row r="31" spans="1:21" ht="15.75" customHeight="1" x14ac:dyDescent="0.25">
      <c r="A31" s="4">
        <f t="shared" si="0"/>
        <v>21</v>
      </c>
      <c r="B31" s="1" t="s">
        <v>196</v>
      </c>
      <c r="C31" s="1"/>
      <c r="D31" s="1"/>
      <c r="H31" s="29"/>
      <c r="I31" s="255"/>
      <c r="J31" s="4">
        <f t="shared" si="1"/>
        <v>21</v>
      </c>
      <c r="K31" s="357"/>
      <c r="L31" s="254"/>
      <c r="M31"/>
      <c r="N31"/>
      <c r="O31"/>
      <c r="P31"/>
      <c r="Q31"/>
      <c r="R31"/>
      <c r="S31"/>
      <c r="T31"/>
      <c r="U31"/>
    </row>
    <row r="32" spans="1:21" ht="31.5" x14ac:dyDescent="0.25">
      <c r="A32" s="4">
        <f t="shared" si="0"/>
        <v>22</v>
      </c>
      <c r="B32" s="31" t="s">
        <v>197</v>
      </c>
      <c r="E32" s="27">
        <f>+G32+H32</f>
        <v>1</v>
      </c>
      <c r="F32" s="4"/>
      <c r="G32" s="132">
        <f>'Summary of HV-LV Splits'!G29</f>
        <v>7.040789179996973E-2</v>
      </c>
      <c r="H32" s="132">
        <f>'Summary of HV-LV Splits'!H29</f>
        <v>0.92959210820003035</v>
      </c>
      <c r="I32" s="90" t="s">
        <v>198</v>
      </c>
      <c r="J32" s="4">
        <f t="shared" si="1"/>
        <v>22</v>
      </c>
      <c r="K32" s="357"/>
      <c r="L32" s="567"/>
      <c r="M32"/>
      <c r="N32"/>
      <c r="O32"/>
      <c r="P32"/>
      <c r="Q32"/>
      <c r="R32"/>
      <c r="S32"/>
      <c r="T32"/>
      <c r="U32"/>
    </row>
    <row r="33" spans="1:21" ht="31.5" x14ac:dyDescent="0.25">
      <c r="A33" s="4">
        <f t="shared" si="0"/>
        <v>23</v>
      </c>
      <c r="B33" s="31" t="s">
        <v>2014</v>
      </c>
      <c r="E33" s="1244">
        <f>'BK-1 BTRR - EU'!E325+'BK-1 BTRR - EU'!E327+'BK-1 BTRR - EU'!E329</f>
        <v>122812.20725707484</v>
      </c>
      <c r="F33" s="4"/>
      <c r="G33" s="908">
        <f>G32*E33</f>
        <v>8646.9486002715821</v>
      </c>
      <c r="H33" s="908">
        <f>H32*E33</f>
        <v>114165.25865680327</v>
      </c>
      <c r="I33" s="90" t="s">
        <v>199</v>
      </c>
      <c r="J33" s="4">
        <f t="shared" si="1"/>
        <v>23</v>
      </c>
      <c r="K33" s="357"/>
      <c r="M33"/>
      <c r="N33"/>
      <c r="O33"/>
      <c r="P33"/>
      <c r="Q33"/>
      <c r="R33"/>
      <c r="S33"/>
      <c r="T33"/>
      <c r="U33"/>
    </row>
    <row r="34" spans="1:21" x14ac:dyDescent="0.25">
      <c r="A34" s="4">
        <f t="shared" si="0"/>
        <v>24</v>
      </c>
      <c r="E34" s="35"/>
      <c r="I34" s="4" t="s">
        <v>1706</v>
      </c>
      <c r="J34" s="4">
        <f t="shared" si="1"/>
        <v>24</v>
      </c>
      <c r="K34" s="357"/>
      <c r="L34" s="254"/>
      <c r="M34"/>
      <c r="N34"/>
      <c r="O34"/>
      <c r="P34"/>
      <c r="Q34"/>
      <c r="R34"/>
      <c r="S34"/>
      <c r="T34"/>
      <c r="U34"/>
    </row>
    <row r="35" spans="1:21" x14ac:dyDescent="0.25">
      <c r="A35" s="4">
        <f t="shared" si="0"/>
        <v>25</v>
      </c>
      <c r="B35" s="33" t="s">
        <v>200</v>
      </c>
      <c r="C35" s="621"/>
      <c r="D35" s="621"/>
      <c r="I35" s="4"/>
      <c r="J35" s="4">
        <f t="shared" si="1"/>
        <v>25</v>
      </c>
      <c r="K35" s="357"/>
      <c r="M35"/>
      <c r="N35"/>
      <c r="O35"/>
      <c r="P35"/>
      <c r="Q35"/>
      <c r="R35"/>
      <c r="S35"/>
      <c r="T35"/>
      <c r="U35"/>
    </row>
    <row r="36" spans="1:21" x14ac:dyDescent="0.25">
      <c r="A36" s="4">
        <f t="shared" si="0"/>
        <v>26</v>
      </c>
      <c r="B36" s="33" t="s">
        <v>201</v>
      </c>
      <c r="C36" s="621"/>
      <c r="D36" s="621"/>
      <c r="I36" s="4"/>
      <c r="J36" s="4">
        <f t="shared" si="1"/>
        <v>26</v>
      </c>
      <c r="K36" s="357"/>
      <c r="L36" s="1"/>
      <c r="M36"/>
      <c r="N36"/>
      <c r="O36"/>
      <c r="P36"/>
      <c r="Q36"/>
      <c r="R36"/>
      <c r="S36"/>
      <c r="T36"/>
      <c r="U36"/>
    </row>
    <row r="37" spans="1:21" ht="18.75" x14ac:dyDescent="0.25">
      <c r="A37" s="4">
        <f t="shared" si="0"/>
        <v>27</v>
      </c>
      <c r="B37" s="31" t="s">
        <v>202</v>
      </c>
      <c r="E37" s="10">
        <f>+E29+E33</f>
        <v>1325635.0021895634</v>
      </c>
      <c r="F37" s="4"/>
      <c r="G37" s="10">
        <f>+G29+G33</f>
        <v>560163.64557701885</v>
      </c>
      <c r="H37" s="10">
        <f>+H29+H33</f>
        <v>765471.35661254451</v>
      </c>
      <c r="I37" s="4" t="s">
        <v>1707</v>
      </c>
      <c r="J37" s="4">
        <f t="shared" si="1"/>
        <v>27</v>
      </c>
      <c r="K37" s="357"/>
      <c r="L37" s="1"/>
      <c r="M37"/>
      <c r="N37"/>
      <c r="O37"/>
      <c r="P37"/>
      <c r="Q37"/>
      <c r="R37"/>
      <c r="S37"/>
      <c r="T37"/>
      <c r="U37"/>
    </row>
    <row r="38" spans="1:21" ht="18.75" x14ac:dyDescent="0.25">
      <c r="A38" s="4">
        <f t="shared" si="0"/>
        <v>28</v>
      </c>
      <c r="B38" s="31" t="s">
        <v>203</v>
      </c>
      <c r="C38" s="30">
        <v>1.0207000000000001E-2</v>
      </c>
      <c r="D38" s="265">
        <v>3</v>
      </c>
      <c r="E38" s="911">
        <f>G38+H38</f>
        <v>13530.756467348874</v>
      </c>
      <c r="F38" s="4"/>
      <c r="G38" s="911">
        <f>G37*C38</f>
        <v>5717.5903304046315</v>
      </c>
      <c r="H38" s="911">
        <f>H37*C38</f>
        <v>7813.1661369442427</v>
      </c>
      <c r="I38" s="4" t="s">
        <v>1708</v>
      </c>
      <c r="J38" s="4">
        <f t="shared" si="1"/>
        <v>28</v>
      </c>
      <c r="K38" s="357"/>
      <c r="L38" s="1"/>
      <c r="M38"/>
      <c r="N38"/>
      <c r="O38"/>
      <c r="P38"/>
      <c r="Q38"/>
      <c r="R38"/>
      <c r="S38"/>
      <c r="T38"/>
      <c r="U38"/>
    </row>
    <row r="39" spans="1:21" ht="18.75" x14ac:dyDescent="0.25">
      <c r="A39" s="4">
        <f t="shared" si="0"/>
        <v>29</v>
      </c>
      <c r="B39" s="31" t="s">
        <v>2015</v>
      </c>
      <c r="E39" s="10">
        <f>E37+E38</f>
        <v>1339165.7586569123</v>
      </c>
      <c r="F39" s="4"/>
      <c r="G39" s="10">
        <f>G37+G38</f>
        <v>565881.23590742343</v>
      </c>
      <c r="H39" s="10">
        <f>H37+H38</f>
        <v>773284.52274948871</v>
      </c>
      <c r="I39" s="4" t="s">
        <v>1709</v>
      </c>
      <c r="J39" s="4">
        <f t="shared" si="1"/>
        <v>29</v>
      </c>
      <c r="K39" s="357"/>
      <c r="L39" s="871"/>
      <c r="M39"/>
      <c r="N39"/>
      <c r="O39"/>
      <c r="P39"/>
      <c r="Q39"/>
      <c r="R39"/>
      <c r="S39"/>
      <c r="T39"/>
      <c r="U39"/>
    </row>
    <row r="40" spans="1:21" x14ac:dyDescent="0.25">
      <c r="A40" s="4">
        <f t="shared" si="0"/>
        <v>30</v>
      </c>
      <c r="E40" s="10"/>
      <c r="F40" s="4"/>
      <c r="G40" s="10"/>
      <c r="H40" s="10"/>
      <c r="I40" s="4"/>
      <c r="J40" s="4">
        <f t="shared" si="1"/>
        <v>30</v>
      </c>
      <c r="K40" s="357"/>
      <c r="L40" s="871"/>
      <c r="M40"/>
      <c r="N40"/>
      <c r="O40"/>
      <c r="P40"/>
      <c r="Q40"/>
      <c r="R40"/>
      <c r="S40"/>
      <c r="T40"/>
      <c r="U40"/>
    </row>
    <row r="41" spans="1:21" x14ac:dyDescent="0.25">
      <c r="A41" s="4">
        <f t="shared" si="0"/>
        <v>31</v>
      </c>
      <c r="B41" s="33" t="s">
        <v>204</v>
      </c>
      <c r="E41" s="918">
        <v>6362.5998473479067</v>
      </c>
      <c r="F41" s="1245"/>
      <c r="G41" s="919">
        <f>E41*G28</f>
        <v>2917.3707604959632</v>
      </c>
      <c r="H41" s="919">
        <f>E41*H28</f>
        <v>3445.2290868519435</v>
      </c>
      <c r="I41" s="90" t="s">
        <v>205</v>
      </c>
      <c r="J41" s="4">
        <f t="shared" si="1"/>
        <v>31</v>
      </c>
      <c r="K41" s="357"/>
      <c r="L41"/>
      <c r="M41"/>
      <c r="N41"/>
      <c r="O41"/>
      <c r="P41"/>
      <c r="Q41"/>
      <c r="R41"/>
      <c r="S41"/>
      <c r="T41"/>
      <c r="U41"/>
    </row>
    <row r="42" spans="1:21" x14ac:dyDescent="0.25">
      <c r="A42" s="4">
        <f t="shared" si="0"/>
        <v>32</v>
      </c>
      <c r="E42" s="6"/>
      <c r="F42" s="1245"/>
      <c r="G42" s="6"/>
      <c r="H42" s="6"/>
      <c r="I42" s="4" t="s">
        <v>1878</v>
      </c>
      <c r="J42" s="4">
        <f t="shared" si="1"/>
        <v>32</v>
      </c>
      <c r="K42" s="357"/>
      <c r="L42" s="871"/>
      <c r="M42"/>
      <c r="N42"/>
      <c r="O42"/>
      <c r="P42"/>
      <c r="Q42"/>
      <c r="R42"/>
      <c r="S42"/>
      <c r="T42"/>
      <c r="U42"/>
    </row>
    <row r="43" spans="1:21" x14ac:dyDescent="0.25">
      <c r="A43" s="4">
        <f t="shared" si="0"/>
        <v>33</v>
      </c>
      <c r="E43" s="6"/>
      <c r="F43" s="1245"/>
      <c r="G43" s="6"/>
      <c r="H43" s="6"/>
      <c r="I43" s="4"/>
      <c r="J43" s="4">
        <f t="shared" si="1"/>
        <v>33</v>
      </c>
      <c r="K43" s="357"/>
      <c r="L43" s="871"/>
      <c r="M43"/>
      <c r="N43"/>
      <c r="O43"/>
      <c r="P43"/>
      <c r="Q43"/>
      <c r="R43"/>
      <c r="S43"/>
      <c r="T43"/>
      <c r="U43"/>
    </row>
    <row r="44" spans="1:21" ht="19.5" thickBot="1" x14ac:dyDescent="0.3">
      <c r="A44" s="4">
        <f t="shared" si="0"/>
        <v>34</v>
      </c>
      <c r="B44" s="33" t="s">
        <v>2016</v>
      </c>
      <c r="E44" s="37">
        <f>E39+E41</f>
        <v>1345528.3585042602</v>
      </c>
      <c r="F44" s="1245"/>
      <c r="G44" s="37">
        <f>G39+G41</f>
        <v>568798.60666791943</v>
      </c>
      <c r="H44" s="37">
        <f>H39+H41</f>
        <v>776729.75183634064</v>
      </c>
      <c r="I44" s="90" t="s">
        <v>1879</v>
      </c>
      <c r="J44" s="4">
        <f t="shared" si="1"/>
        <v>34</v>
      </c>
      <c r="K44" s="357"/>
      <c r="L44" s="871"/>
      <c r="M44"/>
      <c r="N44"/>
      <c r="O44"/>
      <c r="P44"/>
      <c r="Q44"/>
      <c r="R44"/>
      <c r="S44"/>
      <c r="T44"/>
      <c r="U44"/>
    </row>
    <row r="45" spans="1:21" ht="16.5" thickTop="1" x14ac:dyDescent="0.25">
      <c r="B45" s="33"/>
      <c r="E45" s="35"/>
      <c r="F45" s="256"/>
      <c r="G45" s="35"/>
      <c r="H45" s="35"/>
      <c r="I45" s="90"/>
      <c r="K45" s="357"/>
      <c r="L45" s="871"/>
      <c r="M45"/>
      <c r="N45"/>
      <c r="O45"/>
      <c r="P45"/>
      <c r="Q45"/>
      <c r="R45"/>
      <c r="S45"/>
      <c r="T45"/>
      <c r="U45"/>
    </row>
    <row r="46" spans="1:21" x14ac:dyDescent="0.25">
      <c r="B46" s="33"/>
      <c r="E46" s="35"/>
      <c r="F46" s="256"/>
      <c r="G46" s="35"/>
      <c r="H46" s="35"/>
      <c r="I46" s="90"/>
      <c r="K46" s="357"/>
      <c r="L46" s="871"/>
      <c r="M46"/>
      <c r="N46"/>
      <c r="O46"/>
      <c r="P46"/>
      <c r="Q46"/>
      <c r="R46"/>
      <c r="S46"/>
      <c r="T46"/>
      <c r="U46"/>
    </row>
    <row r="47" spans="1:21" ht="18.75" x14ac:dyDescent="0.25">
      <c r="A47" s="252">
        <v>1</v>
      </c>
      <c r="B47" s="31" t="s">
        <v>206</v>
      </c>
      <c r="I47" s="4"/>
      <c r="M47"/>
      <c r="N47"/>
      <c r="O47"/>
      <c r="P47"/>
      <c r="Q47"/>
      <c r="R47"/>
      <c r="S47"/>
      <c r="T47"/>
      <c r="U47"/>
    </row>
    <row r="48" spans="1:21" ht="18.75" x14ac:dyDescent="0.25">
      <c r="A48" s="252">
        <v>2</v>
      </c>
      <c r="B48" s="31" t="s">
        <v>207</v>
      </c>
      <c r="M48"/>
      <c r="N48"/>
      <c r="O48"/>
      <c r="P48"/>
      <c r="Q48"/>
      <c r="R48"/>
      <c r="S48"/>
      <c r="T48"/>
      <c r="U48"/>
    </row>
    <row r="49" spans="1:21" ht="18.75" x14ac:dyDescent="0.25">
      <c r="A49" s="265">
        <v>3</v>
      </c>
      <c r="B49" s="31" t="s">
        <v>2128</v>
      </c>
      <c r="M49"/>
      <c r="N49"/>
      <c r="O49"/>
      <c r="P49"/>
      <c r="Q49"/>
      <c r="R49"/>
      <c r="S49"/>
      <c r="T49"/>
      <c r="U49"/>
    </row>
    <row r="50" spans="1:21" ht="18.75" x14ac:dyDescent="0.25">
      <c r="A50" s="252">
        <v>4</v>
      </c>
      <c r="B50" s="31" t="s">
        <v>2017</v>
      </c>
      <c r="M50"/>
      <c r="N50"/>
      <c r="O50"/>
      <c r="P50"/>
      <c r="Q50"/>
      <c r="R50"/>
      <c r="S50"/>
      <c r="T50"/>
      <c r="U50"/>
    </row>
    <row r="51" spans="1:21" x14ac:dyDescent="0.25">
      <c r="A51" s="31"/>
      <c r="M51"/>
      <c r="N51"/>
      <c r="O51"/>
      <c r="P51"/>
      <c r="Q51"/>
      <c r="R51"/>
      <c r="S51"/>
      <c r="T51"/>
      <c r="U51"/>
    </row>
    <row r="52" spans="1:21" x14ac:dyDescent="0.25">
      <c r="M52"/>
      <c r="N52"/>
      <c r="O52"/>
      <c r="P52"/>
      <c r="Q52"/>
      <c r="R52"/>
      <c r="S52"/>
      <c r="T52"/>
      <c r="U52"/>
    </row>
    <row r="53" spans="1:21" x14ac:dyDescent="0.25">
      <c r="M53"/>
      <c r="N53"/>
      <c r="O53"/>
      <c r="P53"/>
      <c r="Q53"/>
      <c r="R53"/>
      <c r="S53"/>
      <c r="T53"/>
      <c r="U53"/>
    </row>
    <row r="54" spans="1:21" x14ac:dyDescent="0.25">
      <c r="M54"/>
      <c r="N54"/>
      <c r="O54"/>
      <c r="P54"/>
      <c r="Q54"/>
      <c r="R54"/>
      <c r="S54"/>
      <c r="T54"/>
      <c r="U54"/>
    </row>
    <row r="55" spans="1:21" x14ac:dyDescent="0.25">
      <c r="M55"/>
      <c r="N55"/>
      <c r="O55"/>
      <c r="P55"/>
      <c r="Q55"/>
      <c r="R55"/>
      <c r="S55"/>
      <c r="T55"/>
      <c r="U55"/>
    </row>
  </sheetData>
  <mergeCells count="9">
    <mergeCell ref="G23:H23"/>
    <mergeCell ref="B2:I2"/>
    <mergeCell ref="B3:I3"/>
    <mergeCell ref="B4:I4"/>
    <mergeCell ref="B5:I5"/>
    <mergeCell ref="B6:I6"/>
    <mergeCell ref="G11:H11"/>
    <mergeCell ref="G9:H9"/>
    <mergeCell ref="G13:I13"/>
  </mergeCells>
  <printOptions horizontalCentered="1"/>
  <pageMargins left="0.5" right="0.5" top="0.5" bottom="0.5" header="0.25" footer="0.25"/>
  <pageSetup scale="46" orientation="portrait" r:id="rId1"/>
  <headerFooter scaleWithDoc="0">
    <oddFooter>&amp;C&amp;"Times New Roman,Regular"&amp;10BK-2
Page 1 of 1</oddFoot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H41"/>
  <sheetViews>
    <sheetView zoomScale="80" zoomScaleNormal="80" workbookViewId="0">
      <selection activeCell="B23" sqref="B23"/>
    </sheetView>
  </sheetViews>
  <sheetFormatPr defaultColWidth="9.28515625" defaultRowHeight="15.75" x14ac:dyDescent="0.25"/>
  <cols>
    <col min="1" max="1" width="5.28515625" style="217" customWidth="1"/>
    <col min="2" max="2" width="35.28515625" style="1" customWidth="1"/>
    <col min="3" max="3" width="18.5703125" style="1" customWidth="1"/>
    <col min="4" max="4" width="4.5703125" style="1" customWidth="1"/>
    <col min="5" max="5" width="62.5703125" style="1" customWidth="1"/>
    <col min="6" max="6" width="5.28515625" style="217" customWidth="1"/>
    <col min="7" max="7" width="11" style="1" customWidth="1"/>
    <col min="8" max="8" width="7.28515625" style="1" customWidth="1"/>
    <col min="9" max="9" width="9.28515625" style="1" customWidth="1"/>
    <col min="10" max="10" width="14" style="1" customWidth="1"/>
    <col min="11" max="11" width="13.42578125" style="1" customWidth="1"/>
    <col min="12" max="16384" width="9.28515625" style="1"/>
  </cols>
  <sheetData>
    <row r="2" spans="1:7" x14ac:dyDescent="0.25">
      <c r="B2" s="1316" t="s">
        <v>0</v>
      </c>
      <c r="C2" s="1316"/>
      <c r="D2" s="1316"/>
      <c r="E2" s="1316"/>
    </row>
    <row r="3" spans="1:7" x14ac:dyDescent="0.25">
      <c r="B3" s="1316" t="s">
        <v>376</v>
      </c>
      <c r="C3" s="1316"/>
      <c r="D3" s="1316"/>
      <c r="E3" s="1316"/>
    </row>
    <row r="4" spans="1:7" x14ac:dyDescent="0.25">
      <c r="B4" s="1316" t="s">
        <v>377</v>
      </c>
      <c r="C4" s="1316"/>
      <c r="D4" s="1316"/>
      <c r="E4" s="1316"/>
    </row>
    <row r="5" spans="1:7" x14ac:dyDescent="0.25">
      <c r="B5" s="1316" t="str">
        <f>'AD-1'!B5</f>
        <v>BASE PERIOD / TRUE UP PERIOD - 12/31/2025 PER BOOK</v>
      </c>
      <c r="C5" s="1316"/>
      <c r="D5" s="1316"/>
      <c r="E5" s="1316"/>
    </row>
    <row r="6" spans="1:7" x14ac:dyDescent="0.25">
      <c r="B6" s="1312" t="s">
        <v>4</v>
      </c>
      <c r="C6" s="1312"/>
      <c r="D6" s="1312"/>
      <c r="E6" s="1312"/>
    </row>
    <row r="7" spans="1:7" x14ac:dyDescent="0.25">
      <c r="B7" s="266"/>
      <c r="C7" s="266"/>
      <c r="D7" s="266"/>
      <c r="E7" s="266"/>
    </row>
    <row r="8" spans="1:7" x14ac:dyDescent="0.25">
      <c r="B8" s="1316" t="s">
        <v>338</v>
      </c>
      <c r="C8" s="1316"/>
      <c r="D8" s="1316"/>
      <c r="E8" s="1316"/>
    </row>
    <row r="9" spans="1:7" x14ac:dyDescent="0.25">
      <c r="A9" s="4"/>
    </row>
    <row r="10" spans="1:7" x14ac:dyDescent="0.25">
      <c r="A10" s="4"/>
      <c r="B10" s="310"/>
      <c r="C10" s="321" t="s">
        <v>339</v>
      </c>
      <c r="D10" s="1292"/>
      <c r="E10" s="962"/>
      <c r="F10" s="4"/>
    </row>
    <row r="11" spans="1:7" x14ac:dyDescent="0.25">
      <c r="A11" s="4" t="s">
        <v>5</v>
      </c>
      <c r="B11" s="297"/>
      <c r="C11" s="297" t="s">
        <v>388</v>
      </c>
      <c r="D11" s="273"/>
      <c r="E11" s="926"/>
      <c r="F11" s="4" t="s">
        <v>5</v>
      </c>
    </row>
    <row r="12" spans="1:7" x14ac:dyDescent="0.25">
      <c r="A12" s="4" t="s">
        <v>6</v>
      </c>
      <c r="B12" s="305" t="s">
        <v>260</v>
      </c>
      <c r="C12" s="305" t="s">
        <v>341</v>
      </c>
      <c r="D12" s="275"/>
      <c r="E12" s="274" t="s">
        <v>8</v>
      </c>
      <c r="F12" s="4" t="s">
        <v>6</v>
      </c>
    </row>
    <row r="13" spans="1:7" x14ac:dyDescent="0.25">
      <c r="A13" s="4"/>
      <c r="B13" s="313"/>
      <c r="C13" s="1289"/>
      <c r="D13" s="1293"/>
      <c r="E13" s="963"/>
      <c r="F13" s="4"/>
    </row>
    <row r="14" spans="1:7" x14ac:dyDescent="0.25">
      <c r="A14" s="4">
        <v>1</v>
      </c>
      <c r="B14" s="628" t="str">
        <f>'AE-1'!B14</f>
        <v>Dec-24</v>
      </c>
      <c r="C14" s="119">
        <v>0</v>
      </c>
      <c r="D14" s="1086" t="s">
        <v>2062</v>
      </c>
      <c r="E14" s="938" t="s">
        <v>1952</v>
      </c>
      <c r="F14" s="4">
        <f>A14</f>
        <v>1</v>
      </c>
      <c r="G14" s="276"/>
    </row>
    <row r="15" spans="1:7" x14ac:dyDescent="0.25">
      <c r="A15" s="4">
        <f>A14+1</f>
        <v>2</v>
      </c>
      <c r="B15" s="316"/>
      <c r="C15" s="1290"/>
      <c r="D15" s="317"/>
      <c r="E15" s="942"/>
      <c r="F15" s="4">
        <f>F14+1</f>
        <v>2</v>
      </c>
    </row>
    <row r="16" spans="1:7" x14ac:dyDescent="0.25">
      <c r="A16" s="4">
        <f t="shared" ref="A16:A20" si="0">A15+1</f>
        <v>3</v>
      </c>
      <c r="B16" s="628" t="str">
        <f>'AE-1'!B26</f>
        <v>Dec-25</v>
      </c>
      <c r="C16" s="124">
        <v>0</v>
      </c>
      <c r="D16" s="52"/>
      <c r="E16" s="938" t="s">
        <v>2064</v>
      </c>
      <c r="F16" s="4">
        <f t="shared" ref="F16:F20" si="1">F15+1</f>
        <v>3</v>
      </c>
      <c r="G16" s="276"/>
    </row>
    <row r="17" spans="1:8" x14ac:dyDescent="0.25">
      <c r="A17" s="4">
        <f t="shared" si="0"/>
        <v>4</v>
      </c>
      <c r="B17" s="331"/>
      <c r="C17" s="1294"/>
      <c r="D17" s="1295"/>
      <c r="E17" s="81"/>
      <c r="F17" s="4">
        <f t="shared" si="1"/>
        <v>4</v>
      </c>
    </row>
    <row r="18" spans="1:8" x14ac:dyDescent="0.25">
      <c r="A18" s="4">
        <f t="shared" si="0"/>
        <v>5</v>
      </c>
      <c r="B18" s="310"/>
      <c r="C18" s="1289"/>
      <c r="D18" s="1293"/>
      <c r="E18" s="963"/>
      <c r="F18" s="4">
        <f t="shared" si="1"/>
        <v>5</v>
      </c>
    </row>
    <row r="19" spans="1:8" x14ac:dyDescent="0.25">
      <c r="A19" s="4">
        <f t="shared" si="0"/>
        <v>6</v>
      </c>
      <c r="B19" s="318" t="s">
        <v>292</v>
      </c>
      <c r="C19" s="1082">
        <f>(C14+C16)/2</f>
        <v>0</v>
      </c>
      <c r="D19" s="55"/>
      <c r="E19" s="939" t="s">
        <v>293</v>
      </c>
      <c r="F19" s="4">
        <f t="shared" si="1"/>
        <v>6</v>
      </c>
    </row>
    <row r="20" spans="1:8" x14ac:dyDescent="0.25">
      <c r="A20" s="4">
        <f t="shared" si="0"/>
        <v>7</v>
      </c>
      <c r="B20" s="327"/>
      <c r="C20" s="1084"/>
      <c r="D20" s="56"/>
      <c r="E20" s="92"/>
      <c r="F20" s="4">
        <f t="shared" si="1"/>
        <v>7</v>
      </c>
    </row>
    <row r="21" spans="1:8" x14ac:dyDescent="0.25">
      <c r="A21" s="4"/>
      <c r="B21" s="31"/>
      <c r="C21" s="29"/>
      <c r="D21" s="29"/>
      <c r="E21" s="31"/>
      <c r="F21" s="4"/>
    </row>
    <row r="22" spans="1:8" x14ac:dyDescent="0.25">
      <c r="A22" s="4"/>
      <c r="B22" s="31"/>
      <c r="C22" s="31"/>
      <c r="D22" s="31"/>
      <c r="E22" s="31"/>
    </row>
    <row r="23" spans="1:8" x14ac:dyDescent="0.25">
      <c r="A23" s="1086" t="s">
        <v>2062</v>
      </c>
      <c r="B23" s="1311" t="str">
        <f>'Stmt AD'!B48</f>
        <v xml:space="preserve">Items in BOLD do not tie to the TO6 Cycle 2 included in the Offer of Settlement filing per ER25-270-002 and/or the 2025 FERC Form 1 filed on April 17, 2026 due to AFUDC adjustments made in </v>
      </c>
      <c r="C23" s="1311"/>
      <c r="D23" s="1311"/>
      <c r="E23" s="1311"/>
      <c r="F23"/>
      <c r="H23" s="254"/>
    </row>
    <row r="24" spans="1:8" x14ac:dyDescent="0.25">
      <c r="A24" s="870"/>
      <c r="B24" s="1311" t="str">
        <f>'Stmt AD'!B49</f>
        <v>response to settlement negotiations and other adjustments from the Transmission Project Review process.</v>
      </c>
      <c r="C24" s="1311"/>
      <c r="D24" s="1311"/>
      <c r="E24" s="1311"/>
      <c r="F24"/>
    </row>
    <row r="25" spans="1:8" x14ac:dyDescent="0.25">
      <c r="A25" s="870"/>
      <c r="B25"/>
      <c r="C25"/>
      <c r="D25"/>
      <c r="E25"/>
      <c r="F25"/>
    </row>
    <row r="26" spans="1:8" x14ac:dyDescent="0.25">
      <c r="B26" s="31"/>
      <c r="C26" s="31"/>
      <c r="D26" s="31"/>
      <c r="E26" s="31"/>
    </row>
    <row r="27" spans="1:8" x14ac:dyDescent="0.25">
      <c r="B27" s="31"/>
      <c r="C27" s="31"/>
      <c r="D27" s="31"/>
      <c r="E27" s="31"/>
    </row>
    <row r="28" spans="1:8" x14ac:dyDescent="0.25">
      <c r="B28" s="31"/>
      <c r="C28" s="31"/>
      <c r="D28" s="31"/>
      <c r="E28" s="31"/>
    </row>
    <row r="29" spans="1:8" x14ac:dyDescent="0.25">
      <c r="B29" s="31"/>
      <c r="C29" s="31"/>
      <c r="D29" s="31"/>
      <c r="E29" s="31"/>
    </row>
    <row r="30" spans="1:8" x14ac:dyDescent="0.25">
      <c r="B30" s="31"/>
      <c r="C30" s="31"/>
      <c r="D30" s="31"/>
      <c r="E30" s="31"/>
    </row>
    <row r="31" spans="1:8" x14ac:dyDescent="0.25">
      <c r="B31" s="31"/>
      <c r="C31" s="31"/>
      <c r="D31" s="31"/>
      <c r="E31" s="31"/>
    </row>
    <row r="32" spans="1:8" x14ac:dyDescent="0.25">
      <c r="B32" s="31"/>
      <c r="C32" s="31"/>
      <c r="D32" s="31"/>
      <c r="E32" s="31"/>
    </row>
    <row r="33" spans="1:6" x14ac:dyDescent="0.25">
      <c r="B33" s="31"/>
      <c r="C33" s="31"/>
      <c r="D33" s="31"/>
      <c r="E33" s="31"/>
    </row>
    <row r="34" spans="1:6" x14ac:dyDescent="0.25">
      <c r="B34" s="31"/>
      <c r="C34" s="31"/>
      <c r="D34" s="31"/>
      <c r="E34" s="31"/>
    </row>
    <row r="35" spans="1:6" s="31" customFormat="1" x14ac:dyDescent="0.25">
      <c r="A35" s="4"/>
      <c r="F35" s="4"/>
    </row>
    <row r="36" spans="1:6" s="31" customFormat="1" x14ac:dyDescent="0.25">
      <c r="A36" s="4"/>
      <c r="F36" s="4"/>
    </row>
    <row r="37" spans="1:6" s="31" customFormat="1" x14ac:dyDescent="0.25">
      <c r="A37" s="4"/>
      <c r="F37" s="4"/>
    </row>
    <row r="38" spans="1:6" s="31" customFormat="1" x14ac:dyDescent="0.25">
      <c r="A38" s="4"/>
      <c r="F38" s="4"/>
    </row>
    <row r="39" spans="1:6" s="31" customFormat="1" x14ac:dyDescent="0.25">
      <c r="A39" s="4"/>
      <c r="F39" s="4"/>
    </row>
    <row r="40" spans="1:6" s="31" customFormat="1" x14ac:dyDescent="0.25">
      <c r="A40" s="4"/>
      <c r="F40" s="4"/>
    </row>
    <row r="41" spans="1:6" s="31" customFormat="1" x14ac:dyDescent="0.25">
      <c r="A41" s="4"/>
      <c r="F41" s="4"/>
    </row>
  </sheetData>
  <mergeCells count="6">
    <mergeCell ref="B8:E8"/>
    <mergeCell ref="B2:E2"/>
    <mergeCell ref="B3:E3"/>
    <mergeCell ref="B4:E4"/>
    <mergeCell ref="B5:E5"/>
    <mergeCell ref="B6:E6"/>
  </mergeCells>
  <printOptions horizontalCentered="1"/>
  <pageMargins left="0.5" right="0.5" top="0.5" bottom="0.5" header="0.25" footer="0.25"/>
  <pageSetup scale="97" orientation="landscape" r:id="rId1"/>
  <headerFooter scaleWithDoc="0">
    <oddFooter>&amp;C&amp;"Times New Roman,Regular"&amp;10&amp;A</oddFooter>
  </headerFooter>
  <customProperties>
    <customPr name="_pios_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2:G41"/>
  <sheetViews>
    <sheetView zoomScale="80" zoomScaleNormal="80" workbookViewId="0">
      <selection activeCell="B23" sqref="B23"/>
    </sheetView>
  </sheetViews>
  <sheetFormatPr defaultColWidth="9.28515625" defaultRowHeight="15.75" x14ac:dyDescent="0.25"/>
  <cols>
    <col min="1" max="1" width="5.28515625" style="217" customWidth="1"/>
    <col min="2" max="2" width="35.28515625" style="1" customWidth="1"/>
    <col min="3" max="3" width="18.5703125" style="1" customWidth="1"/>
    <col min="4" max="4" width="5" style="1" customWidth="1"/>
    <col min="5" max="5" width="62.5703125" style="1" customWidth="1"/>
    <col min="6" max="6" width="5.28515625" style="217" customWidth="1"/>
    <col min="7" max="7" width="11" style="1" customWidth="1"/>
    <col min="8" max="8" width="7.28515625" style="1" customWidth="1"/>
    <col min="9" max="9" width="9.28515625" style="1" customWidth="1"/>
    <col min="10" max="10" width="14" style="1" customWidth="1"/>
    <col min="11" max="11" width="13.42578125" style="1" customWidth="1"/>
    <col min="12" max="16384" width="9.28515625" style="1"/>
  </cols>
  <sheetData>
    <row r="2" spans="1:7" x14ac:dyDescent="0.25">
      <c r="B2" s="1316" t="s">
        <v>0</v>
      </c>
      <c r="C2" s="1316"/>
      <c r="D2" s="1316"/>
      <c r="E2" s="1316"/>
    </row>
    <row r="3" spans="1:7" x14ac:dyDescent="0.25">
      <c r="B3" s="1316" t="s">
        <v>376</v>
      </c>
      <c r="C3" s="1316"/>
      <c r="D3" s="1316"/>
      <c r="E3" s="1316"/>
    </row>
    <row r="4" spans="1:7" x14ac:dyDescent="0.25">
      <c r="B4" s="1316" t="s">
        <v>377</v>
      </c>
      <c r="C4" s="1316"/>
      <c r="D4" s="1316"/>
      <c r="E4" s="1316"/>
    </row>
    <row r="5" spans="1:7" x14ac:dyDescent="0.25">
      <c r="B5" s="1316" t="str">
        <f>'AD-1'!B5</f>
        <v>BASE PERIOD / TRUE UP PERIOD - 12/31/2025 PER BOOK</v>
      </c>
      <c r="C5" s="1316"/>
      <c r="D5" s="1316"/>
      <c r="E5" s="1316"/>
    </row>
    <row r="6" spans="1:7" x14ac:dyDescent="0.25">
      <c r="B6" s="1312" t="s">
        <v>4</v>
      </c>
      <c r="C6" s="1312"/>
      <c r="D6" s="1312"/>
      <c r="E6" s="1312"/>
    </row>
    <row r="7" spans="1:7" x14ac:dyDescent="0.25">
      <c r="B7" s="266"/>
      <c r="C7" s="266"/>
      <c r="D7" s="266"/>
      <c r="E7" s="266"/>
    </row>
    <row r="8" spans="1:7" x14ac:dyDescent="0.25">
      <c r="A8" s="4"/>
      <c r="B8" s="1316" t="s">
        <v>342</v>
      </c>
      <c r="C8" s="1316"/>
      <c r="D8" s="1316"/>
      <c r="E8" s="1316"/>
    </row>
    <row r="9" spans="1:7" x14ac:dyDescent="0.25">
      <c r="A9" s="4"/>
      <c r="F9" s="4"/>
    </row>
    <row r="10" spans="1:7" x14ac:dyDescent="0.25">
      <c r="A10" s="4"/>
      <c r="B10" s="310"/>
      <c r="C10" s="432" t="s">
        <v>339</v>
      </c>
      <c r="D10" s="1297"/>
      <c r="E10" s="962"/>
      <c r="F10" s="4"/>
    </row>
    <row r="11" spans="1:7" x14ac:dyDescent="0.25">
      <c r="A11" s="4" t="s">
        <v>5</v>
      </c>
      <c r="B11" s="297"/>
      <c r="C11" s="297" t="s">
        <v>389</v>
      </c>
      <c r="D11" s="273"/>
      <c r="E11" s="926"/>
      <c r="F11" s="4" t="s">
        <v>5</v>
      </c>
    </row>
    <row r="12" spans="1:7" x14ac:dyDescent="0.25">
      <c r="A12" s="4" t="s">
        <v>6</v>
      </c>
      <c r="B12" s="305" t="s">
        <v>260</v>
      </c>
      <c r="C12" s="305" t="s">
        <v>341</v>
      </c>
      <c r="D12" s="275"/>
      <c r="E12" s="274" t="s">
        <v>8</v>
      </c>
      <c r="F12" s="4" t="s">
        <v>6</v>
      </c>
    </row>
    <row r="13" spans="1:7" x14ac:dyDescent="0.25">
      <c r="A13" s="4"/>
      <c r="B13" s="313"/>
      <c r="C13" s="1289"/>
      <c r="D13" s="1293"/>
      <c r="E13" s="963"/>
      <c r="F13" s="4"/>
    </row>
    <row r="14" spans="1:7" x14ac:dyDescent="0.25">
      <c r="A14" s="4">
        <v>1</v>
      </c>
      <c r="B14" s="628" t="str">
        <f>'AE-2'!B14</f>
        <v>Dec-24</v>
      </c>
      <c r="C14" s="119">
        <v>171620.81378313914</v>
      </c>
      <c r="D14" s="1086" t="s">
        <v>2062</v>
      </c>
      <c r="E14" s="938" t="s">
        <v>1952</v>
      </c>
      <c r="F14" s="4">
        <f>A14</f>
        <v>1</v>
      </c>
      <c r="G14" s="276"/>
    </row>
    <row r="15" spans="1:7" x14ac:dyDescent="0.25">
      <c r="A15" s="4">
        <f>A14+1</f>
        <v>2</v>
      </c>
      <c r="B15" s="316"/>
      <c r="C15" s="1290"/>
      <c r="D15" s="317"/>
      <c r="E15" s="942"/>
      <c r="F15" s="4">
        <f>F14+1</f>
        <v>2</v>
      </c>
    </row>
    <row r="16" spans="1:7" x14ac:dyDescent="0.25">
      <c r="A16" s="4">
        <f t="shared" ref="A16:A20" si="0">A15+1</f>
        <v>3</v>
      </c>
      <c r="B16" s="628" t="str">
        <f>'AE-2'!B16</f>
        <v>Dec-25</v>
      </c>
      <c r="C16" s="124">
        <v>178302.79457314053</v>
      </c>
      <c r="D16" s="1086" t="s">
        <v>2062</v>
      </c>
      <c r="E16" s="938" t="s">
        <v>2064</v>
      </c>
      <c r="F16" s="4">
        <f t="shared" ref="F16:F20" si="1">F15+1</f>
        <v>3</v>
      </c>
      <c r="G16" s="276"/>
    </row>
    <row r="17" spans="1:6" x14ac:dyDescent="0.25">
      <c r="A17" s="4">
        <f t="shared" si="0"/>
        <v>4</v>
      </c>
      <c r="B17" s="327"/>
      <c r="C17" s="1296"/>
      <c r="D17" s="1298"/>
      <c r="E17" s="66"/>
      <c r="F17" s="4">
        <f t="shared" si="1"/>
        <v>4</v>
      </c>
    </row>
    <row r="18" spans="1:6" x14ac:dyDescent="0.25">
      <c r="A18" s="4">
        <f t="shared" si="0"/>
        <v>5</v>
      </c>
      <c r="B18" s="318"/>
      <c r="C18" s="1289"/>
      <c r="D18" s="1293"/>
      <c r="E18" s="963"/>
      <c r="F18" s="4">
        <f t="shared" si="1"/>
        <v>5</v>
      </c>
    </row>
    <row r="19" spans="1:6" x14ac:dyDescent="0.25">
      <c r="A19" s="4">
        <f t="shared" si="0"/>
        <v>6</v>
      </c>
      <c r="B19" s="318" t="s">
        <v>292</v>
      </c>
      <c r="C19" s="1082">
        <f>(C14+C16)/2</f>
        <v>174961.80417813984</v>
      </c>
      <c r="D19" s="55"/>
      <c r="E19" s="939" t="s">
        <v>293</v>
      </c>
      <c r="F19" s="4">
        <f t="shared" si="1"/>
        <v>6</v>
      </c>
    </row>
    <row r="20" spans="1:6" x14ac:dyDescent="0.25">
      <c r="A20" s="4">
        <f t="shared" si="0"/>
        <v>7</v>
      </c>
      <c r="B20" s="327"/>
      <c r="C20" s="1084"/>
      <c r="D20" s="56"/>
      <c r="E20" s="92"/>
      <c r="F20" s="4">
        <f t="shared" si="1"/>
        <v>7</v>
      </c>
    </row>
    <row r="21" spans="1:6" x14ac:dyDescent="0.25">
      <c r="A21" s="4"/>
      <c r="B21" s="31"/>
      <c r="C21" s="29"/>
      <c r="D21" s="29"/>
      <c r="E21" s="31"/>
      <c r="F21" s="4"/>
    </row>
    <row r="22" spans="1:6" x14ac:dyDescent="0.25">
      <c r="A22" s="4"/>
      <c r="B22" s="31"/>
      <c r="C22" s="31"/>
      <c r="D22" s="31"/>
      <c r="E22" s="31"/>
    </row>
    <row r="23" spans="1:6" x14ac:dyDescent="0.25">
      <c r="A23" s="1086" t="s">
        <v>2062</v>
      </c>
      <c r="B23" s="1" t="str">
        <f>'Stmt AD'!B48</f>
        <v xml:space="preserve">Items in BOLD do not tie to the TO6 Cycle 2 included in the Offer of Settlement filing per ER25-270-002 and/or the 2025 FERC Form 1 filed on April 17, 2026 due to AFUDC adjustments made in </v>
      </c>
      <c r="C23" s="31"/>
      <c r="D23" s="31"/>
      <c r="E23" s="31"/>
    </row>
    <row r="24" spans="1:6" x14ac:dyDescent="0.25">
      <c r="B24" s="1" t="str">
        <f>'Stmt AD'!B49</f>
        <v>response to settlement negotiations and other adjustments from the Transmission Project Review process.</v>
      </c>
      <c r="C24" s="31"/>
      <c r="D24" s="31"/>
      <c r="E24" s="31"/>
    </row>
    <row r="25" spans="1:6" x14ac:dyDescent="0.25">
      <c r="B25" s="31"/>
      <c r="C25" s="31"/>
      <c r="D25" s="31"/>
      <c r="E25" s="31"/>
    </row>
    <row r="26" spans="1:6" x14ac:dyDescent="0.25">
      <c r="B26" s="31"/>
      <c r="C26" s="31"/>
      <c r="D26" s="31"/>
      <c r="E26" s="31"/>
    </row>
    <row r="27" spans="1:6" x14ac:dyDescent="0.25">
      <c r="B27" s="31"/>
      <c r="C27" s="31"/>
      <c r="D27" s="31"/>
      <c r="E27" s="31"/>
    </row>
    <row r="28" spans="1:6" x14ac:dyDescent="0.25">
      <c r="B28" s="31"/>
      <c r="C28" s="31"/>
      <c r="D28" s="31"/>
      <c r="E28" s="31"/>
    </row>
    <row r="29" spans="1:6" x14ac:dyDescent="0.25">
      <c r="B29" s="31"/>
      <c r="C29" s="31"/>
      <c r="D29" s="31"/>
      <c r="E29" s="31"/>
    </row>
    <row r="30" spans="1:6" x14ac:dyDescent="0.25">
      <c r="B30" s="31"/>
      <c r="C30" s="31"/>
      <c r="D30" s="31"/>
      <c r="E30" s="31"/>
    </row>
    <row r="31" spans="1:6" x14ac:dyDescent="0.25">
      <c r="B31" s="31"/>
      <c r="C31" s="31"/>
      <c r="D31" s="31"/>
      <c r="E31" s="31"/>
    </row>
    <row r="32" spans="1:6" x14ac:dyDescent="0.25">
      <c r="B32" s="31"/>
      <c r="C32" s="31"/>
      <c r="D32" s="31"/>
      <c r="E32" s="31"/>
    </row>
    <row r="33" spans="1:6" x14ac:dyDescent="0.25">
      <c r="B33" s="31"/>
      <c r="C33" s="31"/>
      <c r="D33" s="31"/>
      <c r="E33" s="31"/>
    </row>
    <row r="34" spans="1:6" x14ac:dyDescent="0.25">
      <c r="B34" s="31"/>
      <c r="C34" s="31"/>
      <c r="D34" s="31"/>
      <c r="E34" s="31"/>
    </row>
    <row r="35" spans="1:6" s="31" customFormat="1" x14ac:dyDescent="0.25">
      <c r="A35" s="4"/>
      <c r="F35" s="4"/>
    </row>
    <row r="36" spans="1:6" s="31" customFormat="1" x14ac:dyDescent="0.25">
      <c r="A36" s="4"/>
      <c r="F36" s="4"/>
    </row>
    <row r="37" spans="1:6" s="31" customFormat="1" x14ac:dyDescent="0.25">
      <c r="A37" s="4"/>
      <c r="F37" s="4"/>
    </row>
    <row r="38" spans="1:6" s="31" customFormat="1" x14ac:dyDescent="0.25">
      <c r="A38" s="4"/>
      <c r="F38" s="4"/>
    </row>
    <row r="39" spans="1:6" s="31" customFormat="1" x14ac:dyDescent="0.25">
      <c r="A39" s="4"/>
      <c r="F39" s="4"/>
    </row>
    <row r="40" spans="1:6" s="31" customFormat="1" x14ac:dyDescent="0.25">
      <c r="A40" s="4"/>
      <c r="F40" s="4"/>
    </row>
    <row r="41" spans="1:6" s="31" customFormat="1" x14ac:dyDescent="0.25">
      <c r="A41" s="4"/>
      <c r="F41" s="4"/>
    </row>
  </sheetData>
  <mergeCells count="6">
    <mergeCell ref="B8:E8"/>
    <mergeCell ref="B2:E2"/>
    <mergeCell ref="B3:E3"/>
    <mergeCell ref="B4:E4"/>
    <mergeCell ref="B5:E5"/>
    <mergeCell ref="B6:E6"/>
  </mergeCells>
  <printOptions horizontalCentered="1"/>
  <pageMargins left="0.5" right="0.5" top="0.5" bottom="0.5" header="0.25" footer="0.25"/>
  <pageSetup scale="97" orientation="landscape" r:id="rId1"/>
  <headerFooter scaleWithDoc="0">
    <oddFooter>&amp;C&amp;"Times New Roman,Regular"&amp;10&amp;A</oddFooter>
  </headerFooter>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2:G30"/>
  <sheetViews>
    <sheetView zoomScale="80" zoomScaleNormal="80" workbookViewId="0">
      <selection activeCell="E37" sqref="E37"/>
    </sheetView>
  </sheetViews>
  <sheetFormatPr defaultColWidth="9.28515625" defaultRowHeight="15.75" x14ac:dyDescent="0.25"/>
  <cols>
    <col min="1" max="1" width="5.28515625" style="217" customWidth="1"/>
    <col min="2" max="2" width="8.5703125" style="1" customWidth="1"/>
    <col min="3" max="3" width="41.28515625" style="1" customWidth="1"/>
    <col min="4" max="4" width="18.5703125" style="1" customWidth="1"/>
    <col min="5" max="5" width="62.5703125" style="1" customWidth="1"/>
    <col min="6" max="6" width="5.28515625" style="217" customWidth="1"/>
    <col min="7" max="7" width="24" style="1" customWidth="1"/>
    <col min="8" max="8" width="11" style="1" customWidth="1"/>
    <col min="9" max="9" width="7.28515625" style="1" customWidth="1"/>
    <col min="10" max="10" width="9.28515625" style="1" customWidth="1"/>
    <col min="11" max="11" width="14" style="1" customWidth="1"/>
    <col min="12" max="12" width="13.42578125" style="1" customWidth="1"/>
    <col min="13" max="16384" width="9.28515625" style="1"/>
  </cols>
  <sheetData>
    <row r="2" spans="1:7" x14ac:dyDescent="0.25">
      <c r="B2" s="1316" t="s">
        <v>0</v>
      </c>
      <c r="C2" s="1316"/>
      <c r="D2" s="1316"/>
      <c r="E2" s="1316"/>
      <c r="G2"/>
    </row>
    <row r="3" spans="1:7" x14ac:dyDescent="0.25">
      <c r="B3" s="1316" t="s">
        <v>376</v>
      </c>
      <c r="C3" s="1316"/>
      <c r="D3" s="1316"/>
      <c r="E3" s="1316"/>
    </row>
    <row r="4" spans="1:7" x14ac:dyDescent="0.25">
      <c r="B4" s="1316" t="s">
        <v>377</v>
      </c>
      <c r="C4" s="1316"/>
      <c r="D4" s="1316"/>
      <c r="E4" s="1316"/>
    </row>
    <row r="5" spans="1:7" x14ac:dyDescent="0.25">
      <c r="B5" s="1316" t="str">
        <f>'AD-1'!B5</f>
        <v>BASE PERIOD / TRUE UP PERIOD - 12/31/2025 PER BOOK</v>
      </c>
      <c r="C5" s="1316"/>
      <c r="D5" s="1316"/>
      <c r="E5" s="1316"/>
    </row>
    <row r="6" spans="1:7" x14ac:dyDescent="0.25">
      <c r="B6" s="1312" t="s">
        <v>4</v>
      </c>
      <c r="C6" s="1312"/>
      <c r="D6" s="1312"/>
      <c r="E6" s="1312"/>
    </row>
    <row r="7" spans="1:7" x14ac:dyDescent="0.25">
      <c r="B7" s="266"/>
      <c r="C7" s="266"/>
      <c r="D7" s="266"/>
      <c r="E7" s="266"/>
    </row>
    <row r="8" spans="1:7" x14ac:dyDescent="0.25">
      <c r="B8" s="1316" t="s">
        <v>344</v>
      </c>
      <c r="C8" s="1316"/>
      <c r="D8" s="1316"/>
      <c r="E8" s="1316"/>
    </row>
    <row r="9" spans="1:7" x14ac:dyDescent="0.25">
      <c r="A9" s="4"/>
      <c r="F9" s="4"/>
    </row>
    <row r="10" spans="1:7" x14ac:dyDescent="0.25">
      <c r="A10" s="4" t="s">
        <v>5</v>
      </c>
      <c r="B10" s="320"/>
      <c r="C10" s="320"/>
      <c r="D10" s="321"/>
      <c r="E10" s="322"/>
      <c r="F10" s="4" t="s">
        <v>5</v>
      </c>
    </row>
    <row r="11" spans="1:7" x14ac:dyDescent="0.25">
      <c r="A11" s="4" t="s">
        <v>6</v>
      </c>
      <c r="B11" s="305" t="s">
        <v>260</v>
      </c>
      <c r="C11" s="305" t="s">
        <v>311</v>
      </c>
      <c r="D11" s="305" t="s">
        <v>7</v>
      </c>
      <c r="E11" s="274" t="s">
        <v>8</v>
      </c>
      <c r="F11" s="4" t="s">
        <v>6</v>
      </c>
      <c r="G11" s="276"/>
    </row>
    <row r="12" spans="1:7" x14ac:dyDescent="0.25">
      <c r="A12" s="4"/>
      <c r="B12" s="323"/>
      <c r="C12" s="323"/>
      <c r="D12" s="323"/>
      <c r="E12" s="324"/>
      <c r="F12" s="4"/>
    </row>
    <row r="13" spans="1:7" x14ac:dyDescent="0.25">
      <c r="A13" s="4">
        <v>1</v>
      </c>
      <c r="B13" s="628" t="str">
        <f>'AE-3'!B14</f>
        <v>Dec-24</v>
      </c>
      <c r="C13" s="325" t="s">
        <v>345</v>
      </c>
      <c r="D13" s="335">
        <v>1184707.0149999999</v>
      </c>
      <c r="E13" s="1196" t="s">
        <v>1950</v>
      </c>
      <c r="F13" s="4">
        <f>A13</f>
        <v>1</v>
      </c>
    </row>
    <row r="14" spans="1:7" x14ac:dyDescent="0.25">
      <c r="A14" s="4">
        <f>A13+1</f>
        <v>2</v>
      </c>
      <c r="B14" s="325"/>
      <c r="C14" s="325" t="s">
        <v>347</v>
      </c>
      <c r="D14" s="246">
        <v>0.73870000000000002</v>
      </c>
      <c r="E14" s="1196" t="s">
        <v>1951</v>
      </c>
      <c r="F14" s="4">
        <f>F13+1</f>
        <v>2</v>
      </c>
    </row>
    <row r="15" spans="1:7" x14ac:dyDescent="0.25">
      <c r="A15" s="4">
        <f t="shared" ref="A15:A23" si="0">A14+1</f>
        <v>3</v>
      </c>
      <c r="B15" s="325"/>
      <c r="C15" s="325" t="s">
        <v>390</v>
      </c>
      <c r="D15" s="569">
        <f>D13*D14</f>
        <v>875143.0719804999</v>
      </c>
      <c r="E15" s="938" t="s">
        <v>350</v>
      </c>
      <c r="F15" s="4">
        <f t="shared" ref="F15:F22" si="1">F14+1</f>
        <v>3</v>
      </c>
    </row>
    <row r="16" spans="1:7" x14ac:dyDescent="0.25">
      <c r="A16" s="4">
        <f t="shared" si="0"/>
        <v>4</v>
      </c>
      <c r="B16" s="325"/>
      <c r="C16" s="325"/>
      <c r="D16" s="569"/>
      <c r="E16" s="938"/>
      <c r="F16" s="4">
        <f t="shared" si="1"/>
        <v>4</v>
      </c>
    </row>
    <row r="17" spans="1:7" x14ac:dyDescent="0.25">
      <c r="A17" s="4">
        <f t="shared" si="0"/>
        <v>5</v>
      </c>
      <c r="B17" s="628" t="str">
        <f>'AE-3'!B16</f>
        <v>Dec-25</v>
      </c>
      <c r="C17" s="325" t="s">
        <v>345</v>
      </c>
      <c r="D17" s="335">
        <v>1357559.9609999999</v>
      </c>
      <c r="E17" s="1196" t="s">
        <v>2065</v>
      </c>
      <c r="F17" s="4">
        <f t="shared" si="1"/>
        <v>5</v>
      </c>
      <c r="G17" s="254"/>
    </row>
    <row r="18" spans="1:7" x14ac:dyDescent="0.25">
      <c r="A18" s="4">
        <f t="shared" si="0"/>
        <v>6</v>
      </c>
      <c r="B18" s="325"/>
      <c r="C18" s="325" t="s">
        <v>347</v>
      </c>
      <c r="D18" s="246">
        <v>0.70169999999999999</v>
      </c>
      <c r="E18" s="1196" t="s">
        <v>2066</v>
      </c>
      <c r="F18" s="4">
        <f t="shared" si="1"/>
        <v>6</v>
      </c>
      <c r="G18" s="254"/>
    </row>
    <row r="19" spans="1:7" x14ac:dyDescent="0.25">
      <c r="A19" s="4">
        <f t="shared" si="0"/>
        <v>7</v>
      </c>
      <c r="B19" s="325"/>
      <c r="C19" s="325" t="s">
        <v>390</v>
      </c>
      <c r="D19" s="569">
        <f>D17*D18</f>
        <v>952599.82463369996</v>
      </c>
      <c r="E19" s="938" t="s">
        <v>352</v>
      </c>
      <c r="F19" s="4">
        <f t="shared" si="1"/>
        <v>7</v>
      </c>
    </row>
    <row r="20" spans="1:7" x14ac:dyDescent="0.25">
      <c r="A20" s="4">
        <f t="shared" si="0"/>
        <v>8</v>
      </c>
      <c r="B20" s="326"/>
      <c r="C20" s="305"/>
      <c r="D20" s="326"/>
      <c r="E20" s="290"/>
      <c r="F20" s="4">
        <f t="shared" si="1"/>
        <v>8</v>
      </c>
    </row>
    <row r="21" spans="1:7" x14ac:dyDescent="0.25">
      <c r="A21" s="4">
        <f t="shared" si="0"/>
        <v>9</v>
      </c>
      <c r="B21" s="310"/>
      <c r="D21" s="318"/>
      <c r="E21" s="277"/>
      <c r="F21" s="4">
        <f t="shared" si="1"/>
        <v>9</v>
      </c>
    </row>
    <row r="22" spans="1:7" x14ac:dyDescent="0.25">
      <c r="A22" s="4">
        <f t="shared" si="0"/>
        <v>10</v>
      </c>
      <c r="B22" s="318" t="s">
        <v>292</v>
      </c>
      <c r="D22" s="961">
        <f>(D15+D19)/2</f>
        <v>913871.44830709998</v>
      </c>
      <c r="E22" s="932" t="s">
        <v>353</v>
      </c>
      <c r="F22" s="4">
        <f t="shared" si="1"/>
        <v>10</v>
      </c>
    </row>
    <row r="23" spans="1:7" x14ac:dyDescent="0.25">
      <c r="A23" s="4">
        <f t="shared" si="0"/>
        <v>11</v>
      </c>
      <c r="B23" s="327"/>
      <c r="C23" s="966"/>
      <c r="D23" s="327"/>
      <c r="E23" s="66"/>
      <c r="F23" s="4">
        <f t="shared" ref="F23" si="2">F22+1</f>
        <v>11</v>
      </c>
    </row>
    <row r="24" spans="1:7" x14ac:dyDescent="0.25">
      <c r="A24" s="4"/>
      <c r="B24" s="292"/>
      <c r="C24" s="292"/>
      <c r="D24" s="31"/>
      <c r="E24" s="31"/>
    </row>
    <row r="25" spans="1:7" x14ac:dyDescent="0.25">
      <c r="B25" s="31"/>
      <c r="C25" s="31"/>
      <c r="D25" s="31"/>
      <c r="E25" s="31"/>
    </row>
    <row r="26" spans="1:7" x14ac:dyDescent="0.25">
      <c r="B26" s="31"/>
      <c r="C26" s="31"/>
      <c r="D26" s="31"/>
      <c r="E26" s="34"/>
    </row>
    <row r="27" spans="1:7" x14ac:dyDescent="0.25">
      <c r="B27" s="31"/>
      <c r="C27" s="31"/>
      <c r="D27" s="31"/>
      <c r="E27" s="31"/>
    </row>
    <row r="28" spans="1:7" x14ac:dyDescent="0.25">
      <c r="E28" s="34"/>
    </row>
    <row r="30" spans="1:7" x14ac:dyDescent="0.25">
      <c r="E30" s="34"/>
    </row>
  </sheetData>
  <mergeCells count="6">
    <mergeCell ref="B8:E8"/>
    <mergeCell ref="B2:E2"/>
    <mergeCell ref="B3:E3"/>
    <mergeCell ref="B4:E4"/>
    <mergeCell ref="B5:E5"/>
    <mergeCell ref="B6:E6"/>
  </mergeCells>
  <printOptions horizontalCentered="1"/>
  <pageMargins left="0.5" right="0.5" top="0.5" bottom="0.5" header="0.25" footer="0.25"/>
  <pageSetup scale="90" orientation="landscape" r:id="rId1"/>
  <headerFooter scaleWithDoc="0">
    <oddFooter>&amp;C&amp;"Times New Roman,Regular"&amp;10&amp;A</oddFooter>
  </headerFooter>
  <customProperties>
    <customPr name="_pios_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2:G38"/>
  <sheetViews>
    <sheetView zoomScale="80" zoomScaleNormal="80" workbookViewId="0">
      <selection activeCell="J36" sqref="J36"/>
    </sheetView>
  </sheetViews>
  <sheetFormatPr defaultColWidth="9.28515625" defaultRowHeight="15.75" x14ac:dyDescent="0.25"/>
  <cols>
    <col min="1" max="1" width="5.28515625" style="217" customWidth="1"/>
    <col min="2" max="2" width="35.28515625" style="1" customWidth="1"/>
    <col min="3" max="3" width="18.5703125" style="86" customWidth="1"/>
    <col min="4" max="4" width="25.28515625" style="86" customWidth="1"/>
    <col min="5" max="5" width="18.5703125" style="1" customWidth="1"/>
    <col min="6" max="6" width="62.5703125" style="1" customWidth="1"/>
    <col min="7" max="7" width="5.28515625" style="217" customWidth="1"/>
    <col min="8" max="8" width="24" style="1" customWidth="1"/>
    <col min="9" max="9" width="11" style="1" customWidth="1"/>
    <col min="10" max="10" width="7.28515625" style="1" customWidth="1"/>
    <col min="11" max="11" width="9.28515625" style="1" customWidth="1"/>
    <col min="12" max="12" width="14" style="1" customWidth="1"/>
    <col min="13" max="13" width="13.42578125" style="1" customWidth="1"/>
    <col min="14" max="16384" width="9.28515625" style="1"/>
  </cols>
  <sheetData>
    <row r="2" spans="1:7" x14ac:dyDescent="0.25">
      <c r="B2" s="1316" t="s">
        <v>0</v>
      </c>
      <c r="C2" s="1316"/>
      <c r="D2" s="1316"/>
      <c r="E2" s="1316"/>
      <c r="F2" s="1316"/>
    </row>
    <row r="3" spans="1:7" x14ac:dyDescent="0.25">
      <c r="B3" s="1316" t="s">
        <v>376</v>
      </c>
      <c r="C3" s="1316"/>
      <c r="D3" s="1316"/>
      <c r="E3" s="1316"/>
      <c r="F3" s="1316"/>
    </row>
    <row r="4" spans="1:7" x14ac:dyDescent="0.25">
      <c r="B4" s="1316" t="s">
        <v>391</v>
      </c>
      <c r="C4" s="1316"/>
      <c r="D4" s="1316"/>
      <c r="E4" s="1316"/>
      <c r="F4" s="1316"/>
    </row>
    <row r="5" spans="1:7" x14ac:dyDescent="0.25">
      <c r="B5" s="1316" t="str">
        <f>'AD-1'!B5</f>
        <v>BASE PERIOD / TRUE UP PERIOD - 12/31/2025 PER BOOK</v>
      </c>
      <c r="C5" s="1316"/>
      <c r="D5" s="1316"/>
      <c r="E5" s="1316"/>
      <c r="F5" s="1316"/>
      <c r="G5" s="4"/>
    </row>
    <row r="6" spans="1:7" x14ac:dyDescent="0.25">
      <c r="B6" s="1312" t="s">
        <v>4</v>
      </c>
      <c r="C6" s="1312"/>
      <c r="D6" s="1312"/>
      <c r="E6" s="1312"/>
      <c r="F6" s="1312"/>
      <c r="G6" s="4"/>
    </row>
    <row r="7" spans="1:7" x14ac:dyDescent="0.25">
      <c r="B7" s="336"/>
      <c r="C7" s="267"/>
      <c r="D7" s="267"/>
      <c r="E7" s="266"/>
      <c r="F7" s="266"/>
      <c r="G7" s="4"/>
    </row>
    <row r="8" spans="1:7" x14ac:dyDescent="0.25">
      <c r="B8" s="1323" t="s">
        <v>334</v>
      </c>
      <c r="C8" s="1324"/>
      <c r="D8" s="1324"/>
      <c r="E8" s="1324"/>
      <c r="F8" s="1324"/>
      <c r="G8" s="4"/>
    </row>
    <row r="9" spans="1:7" x14ac:dyDescent="0.25">
      <c r="G9" s="4"/>
    </row>
    <row r="10" spans="1:7" x14ac:dyDescent="0.25">
      <c r="A10" s="4"/>
      <c r="B10" s="924"/>
      <c r="C10" s="268" t="s">
        <v>392</v>
      </c>
      <c r="D10" s="925"/>
      <c r="E10" s="268" t="s">
        <v>335</v>
      </c>
      <c r="F10" s="925"/>
      <c r="G10" s="4"/>
    </row>
    <row r="11" spans="1:7" x14ac:dyDescent="0.25">
      <c r="A11" s="4"/>
      <c r="B11" s="269"/>
      <c r="C11" s="217" t="s">
        <v>295</v>
      </c>
      <c r="D11" s="269"/>
      <c r="E11" s="273" t="s">
        <v>336</v>
      </c>
      <c r="F11" s="269"/>
      <c r="G11" s="4"/>
    </row>
    <row r="12" spans="1:7" x14ac:dyDescent="0.25">
      <c r="A12" s="4" t="s">
        <v>5</v>
      </c>
      <c r="B12" s="272"/>
      <c r="C12" s="217" t="s">
        <v>378</v>
      </c>
      <c r="D12" s="269"/>
      <c r="E12" s="273" t="s">
        <v>378</v>
      </c>
      <c r="F12" s="269"/>
      <c r="G12" s="4" t="s">
        <v>5</v>
      </c>
    </row>
    <row r="13" spans="1:7" x14ac:dyDescent="0.25">
      <c r="A13" s="4" t="s">
        <v>6</v>
      </c>
      <c r="B13" s="274" t="s">
        <v>260</v>
      </c>
      <c r="C13" s="927" t="s">
        <v>261</v>
      </c>
      <c r="D13" s="274" t="s">
        <v>8</v>
      </c>
      <c r="E13" s="275" t="s">
        <v>337</v>
      </c>
      <c r="F13" s="274" t="s">
        <v>8</v>
      </c>
      <c r="G13" s="4" t="s">
        <v>6</v>
      </c>
    </row>
    <row r="14" spans="1:7" x14ac:dyDescent="0.25">
      <c r="A14" s="4">
        <v>1</v>
      </c>
      <c r="B14" s="928" t="str">
        <f>'AE-1'!B14</f>
        <v>Dec-24</v>
      </c>
      <c r="C14" s="58">
        <v>0</v>
      </c>
      <c r="D14" s="939" t="s">
        <v>263</v>
      </c>
      <c r="E14" s="58">
        <v>0</v>
      </c>
      <c r="F14" s="939" t="s">
        <v>263</v>
      </c>
      <c r="G14" s="4">
        <f>A14</f>
        <v>1</v>
      </c>
    </row>
    <row r="15" spans="1:7" x14ac:dyDescent="0.25">
      <c r="A15" s="4">
        <f>A14+1</f>
        <v>2</v>
      </c>
      <c r="B15" s="928" t="str">
        <f>'AE-1'!B15</f>
        <v>Jan-25</v>
      </c>
      <c r="C15" s="52">
        <v>0</v>
      </c>
      <c r="D15" s="938"/>
      <c r="E15" s="52">
        <v>0</v>
      </c>
      <c r="F15" s="938"/>
      <c r="G15" s="4">
        <f>G14+1</f>
        <v>2</v>
      </c>
    </row>
    <row r="16" spans="1:7" x14ac:dyDescent="0.25">
      <c r="A16" s="4">
        <f t="shared" ref="A16:A32" si="0">A15+1</f>
        <v>3</v>
      </c>
      <c r="B16" s="931" t="s">
        <v>265</v>
      </c>
      <c r="C16" s="52">
        <v>0</v>
      </c>
      <c r="D16" s="938"/>
      <c r="E16" s="52">
        <v>0</v>
      </c>
      <c r="F16" s="938"/>
      <c r="G16" s="4">
        <f t="shared" ref="G16:G32" si="1">G15+1</f>
        <v>3</v>
      </c>
    </row>
    <row r="17" spans="1:7" x14ac:dyDescent="0.25">
      <c r="A17" s="4">
        <f t="shared" si="0"/>
        <v>4</v>
      </c>
      <c r="B17" s="931" t="s">
        <v>266</v>
      </c>
      <c r="C17" s="52">
        <v>0</v>
      </c>
      <c r="D17" s="938"/>
      <c r="E17" s="65">
        <v>0</v>
      </c>
      <c r="F17" s="938"/>
      <c r="G17" s="4">
        <f t="shared" si="1"/>
        <v>4</v>
      </c>
    </row>
    <row r="18" spans="1:7" x14ac:dyDescent="0.25">
      <c r="A18" s="4">
        <f t="shared" si="0"/>
        <v>5</v>
      </c>
      <c r="B18" s="931" t="s">
        <v>267</v>
      </c>
      <c r="C18" s="52">
        <v>0</v>
      </c>
      <c r="D18" s="938"/>
      <c r="E18" s="65">
        <v>0</v>
      </c>
      <c r="F18" s="938"/>
      <c r="G18" s="4">
        <f t="shared" si="1"/>
        <v>5</v>
      </c>
    </row>
    <row r="19" spans="1:7" x14ac:dyDescent="0.25">
      <c r="A19" s="4">
        <f t="shared" si="0"/>
        <v>6</v>
      </c>
      <c r="B19" s="931" t="s">
        <v>268</v>
      </c>
      <c r="C19" s="52">
        <v>0</v>
      </c>
      <c r="D19" s="938"/>
      <c r="E19" s="65">
        <v>0</v>
      </c>
      <c r="F19" s="938"/>
      <c r="G19" s="4">
        <f t="shared" si="1"/>
        <v>6</v>
      </c>
    </row>
    <row r="20" spans="1:7" x14ac:dyDescent="0.25">
      <c r="A20" s="4">
        <f>A19+1</f>
        <v>7</v>
      </c>
      <c r="B20" s="931" t="s">
        <v>269</v>
      </c>
      <c r="C20" s="52">
        <v>0</v>
      </c>
      <c r="D20" s="938"/>
      <c r="E20" s="65">
        <v>0</v>
      </c>
      <c r="F20" s="938"/>
      <c r="G20" s="4">
        <f>G19+1</f>
        <v>7</v>
      </c>
    </row>
    <row r="21" spans="1:7" x14ac:dyDescent="0.25">
      <c r="A21" s="4">
        <f t="shared" si="0"/>
        <v>8</v>
      </c>
      <c r="B21" s="931" t="s">
        <v>270</v>
      </c>
      <c r="C21" s="52">
        <v>0</v>
      </c>
      <c r="D21" s="938"/>
      <c r="E21" s="65">
        <v>0</v>
      </c>
      <c r="F21" s="938"/>
      <c r="G21" s="4">
        <f t="shared" si="1"/>
        <v>8</v>
      </c>
    </row>
    <row r="22" spans="1:7" x14ac:dyDescent="0.25">
      <c r="A22" s="4">
        <f t="shared" si="0"/>
        <v>9</v>
      </c>
      <c r="B22" s="931" t="s">
        <v>271</v>
      </c>
      <c r="C22" s="52">
        <v>0</v>
      </c>
      <c r="D22" s="938"/>
      <c r="E22" s="65">
        <v>0</v>
      </c>
      <c r="F22" s="938"/>
      <c r="G22" s="4">
        <f t="shared" si="1"/>
        <v>9</v>
      </c>
    </row>
    <row r="23" spans="1:7" x14ac:dyDescent="0.25">
      <c r="A23" s="4">
        <f t="shared" si="0"/>
        <v>10</v>
      </c>
      <c r="B23" s="931" t="s">
        <v>272</v>
      </c>
      <c r="C23" s="52">
        <v>0</v>
      </c>
      <c r="D23" s="938"/>
      <c r="E23" s="65">
        <v>0</v>
      </c>
      <c r="F23" s="938"/>
      <c r="G23" s="4">
        <f t="shared" si="1"/>
        <v>10</v>
      </c>
    </row>
    <row r="24" spans="1:7" x14ac:dyDescent="0.25">
      <c r="A24" s="4">
        <f t="shared" si="0"/>
        <v>11</v>
      </c>
      <c r="B24" s="931" t="s">
        <v>273</v>
      </c>
      <c r="C24" s="52">
        <v>0</v>
      </c>
      <c r="D24" s="938"/>
      <c r="E24" s="65">
        <v>0</v>
      </c>
      <c r="F24" s="938"/>
      <c r="G24" s="4">
        <f t="shared" si="1"/>
        <v>11</v>
      </c>
    </row>
    <row r="25" spans="1:7" x14ac:dyDescent="0.25">
      <c r="A25" s="4">
        <f t="shared" si="0"/>
        <v>12</v>
      </c>
      <c r="B25" s="931" t="s">
        <v>274</v>
      </c>
      <c r="C25" s="52">
        <v>0</v>
      </c>
      <c r="D25" s="938"/>
      <c r="E25" s="65">
        <v>0</v>
      </c>
      <c r="F25" s="938"/>
      <c r="G25" s="4">
        <f t="shared" si="1"/>
        <v>12</v>
      </c>
    </row>
    <row r="26" spans="1:7" x14ac:dyDescent="0.25">
      <c r="A26" s="4">
        <f t="shared" si="0"/>
        <v>13</v>
      </c>
      <c r="B26" s="629" t="str">
        <f>'AE-1'!B26</f>
        <v>Dec-25</v>
      </c>
      <c r="C26" s="53">
        <v>0</v>
      </c>
      <c r="D26" s="590" t="s">
        <v>263</v>
      </c>
      <c r="E26" s="53">
        <v>0</v>
      </c>
      <c r="F26" s="939" t="s">
        <v>263</v>
      </c>
      <c r="G26" s="4">
        <f t="shared" si="1"/>
        <v>13</v>
      </c>
    </row>
    <row r="27" spans="1:7" x14ac:dyDescent="0.25">
      <c r="A27" s="4">
        <f t="shared" si="0"/>
        <v>14</v>
      </c>
      <c r="B27" s="277"/>
      <c r="C27" s="59"/>
      <c r="D27" s="924"/>
      <c r="E27" s="60"/>
      <c r="F27" s="943"/>
      <c r="G27" s="4">
        <f t="shared" si="1"/>
        <v>14</v>
      </c>
    </row>
    <row r="28" spans="1:7" x14ac:dyDescent="0.25">
      <c r="A28" s="4">
        <f t="shared" si="0"/>
        <v>15</v>
      </c>
      <c r="B28" s="277" t="s">
        <v>276</v>
      </c>
      <c r="C28" s="55">
        <f>SUM(C14:C26)</f>
        <v>0</v>
      </c>
      <c r="D28" s="939" t="s">
        <v>277</v>
      </c>
      <c r="E28" s="55">
        <f>SUM(E14:E26)</f>
        <v>0</v>
      </c>
      <c r="F28" s="939" t="s">
        <v>277</v>
      </c>
      <c r="G28" s="4">
        <f t="shared" si="1"/>
        <v>15</v>
      </c>
    </row>
    <row r="29" spans="1:7" x14ac:dyDescent="0.25">
      <c r="A29" s="4">
        <f t="shared" si="0"/>
        <v>16</v>
      </c>
      <c r="B29" s="116"/>
      <c r="C29" s="61"/>
      <c r="D29" s="81"/>
      <c r="E29" s="61"/>
      <c r="F29" s="81"/>
      <c r="G29" s="4">
        <f t="shared" si="1"/>
        <v>16</v>
      </c>
    </row>
    <row r="30" spans="1:7" x14ac:dyDescent="0.25">
      <c r="A30" s="4">
        <f t="shared" si="0"/>
        <v>17</v>
      </c>
      <c r="B30" s="277"/>
      <c r="C30" s="79"/>
      <c r="D30" s="671"/>
      <c r="E30" s="79"/>
      <c r="F30" s="671"/>
      <c r="G30" s="4">
        <f t="shared" si="1"/>
        <v>17</v>
      </c>
    </row>
    <row r="31" spans="1:7" x14ac:dyDescent="0.25">
      <c r="A31" s="4">
        <f t="shared" si="0"/>
        <v>18</v>
      </c>
      <c r="B31" s="277" t="s">
        <v>278</v>
      </c>
      <c r="C31" s="55">
        <f>C28/13</f>
        <v>0</v>
      </c>
      <c r="D31" s="670" t="s">
        <v>279</v>
      </c>
      <c r="E31" s="55">
        <f>E28/13</f>
        <v>0</v>
      </c>
      <c r="F31" s="670" t="s">
        <v>279</v>
      </c>
      <c r="G31" s="4">
        <f t="shared" si="1"/>
        <v>18</v>
      </c>
    </row>
    <row r="32" spans="1:7" x14ac:dyDescent="0.25">
      <c r="A32" s="4">
        <f t="shared" si="0"/>
        <v>19</v>
      </c>
      <c r="B32" s="116"/>
      <c r="C32" s="278"/>
      <c r="D32" s="291"/>
      <c r="E32" s="278"/>
      <c r="F32" s="291"/>
      <c r="G32" s="4">
        <f t="shared" si="1"/>
        <v>19</v>
      </c>
    </row>
    <row r="33" spans="1:7" x14ac:dyDescent="0.25">
      <c r="A33" s="4"/>
      <c r="B33" s="31"/>
      <c r="C33" s="31"/>
      <c r="D33" s="31"/>
      <c r="E33" s="31"/>
      <c r="F33" s="31"/>
      <c r="G33" s="4"/>
    </row>
    <row r="34" spans="1:7" x14ac:dyDescent="0.25">
      <c r="A34" s="4"/>
      <c r="B34" s="292"/>
      <c r="C34" s="31"/>
      <c r="D34" s="31"/>
      <c r="E34" s="105"/>
      <c r="F34" s="31"/>
      <c r="G34" s="4"/>
    </row>
    <row r="35" spans="1:7" x14ac:dyDescent="0.25">
      <c r="A35" s="4"/>
      <c r="B35" s="292"/>
      <c r="C35" s="31"/>
      <c r="D35" s="31"/>
      <c r="E35" s="31"/>
      <c r="F35" s="31"/>
      <c r="G35" s="4"/>
    </row>
    <row r="36" spans="1:7" x14ac:dyDescent="0.25">
      <c r="A36" s="4"/>
      <c r="B36" s="31"/>
      <c r="C36" s="31"/>
      <c r="D36" s="31"/>
      <c r="E36" s="31"/>
      <c r="F36" s="31"/>
      <c r="G36" s="4"/>
    </row>
    <row r="37" spans="1:7" x14ac:dyDescent="0.25">
      <c r="B37" s="31"/>
      <c r="C37" s="31"/>
      <c r="D37" s="31"/>
      <c r="E37" s="31"/>
      <c r="F37" s="31"/>
      <c r="G37" s="4"/>
    </row>
    <row r="38" spans="1:7" x14ac:dyDescent="0.25">
      <c r="B38" s="31"/>
      <c r="C38" s="31"/>
      <c r="D38" s="31"/>
      <c r="E38" s="31"/>
      <c r="F38" s="31"/>
    </row>
  </sheetData>
  <mergeCells count="6">
    <mergeCell ref="B8:F8"/>
    <mergeCell ref="B2:F2"/>
    <mergeCell ref="B3:F3"/>
    <mergeCell ref="B4:F4"/>
    <mergeCell ref="B5:F5"/>
    <mergeCell ref="B6:F6"/>
  </mergeCells>
  <printOptions horizontalCentered="1"/>
  <pageMargins left="0.5" right="0.5" top="0.5" bottom="0.5" header="0.25" footer="0.25"/>
  <pageSetup scale="75" orientation="landscape" r:id="rId1"/>
  <headerFooter scaleWithDoc="0">
    <oddFooter>&amp;C&amp;"Times New Roman,Regular"&amp;10&amp;A</oddFooter>
  </headerFooter>
  <customProperties>
    <customPr name="_pios_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30"/>
  <sheetViews>
    <sheetView zoomScale="80" zoomScaleNormal="80" workbookViewId="0">
      <selection activeCell="E11" sqref="E11"/>
    </sheetView>
  </sheetViews>
  <sheetFormatPr defaultColWidth="9.28515625" defaultRowHeight="15.75" x14ac:dyDescent="0.25"/>
  <cols>
    <col min="1" max="1" width="5.28515625" style="4" customWidth="1"/>
    <col min="2" max="2" width="56" style="31" customWidth="1"/>
    <col min="3" max="3" width="33" style="31" bestFit="1" customWidth="1"/>
    <col min="4" max="4" width="1.5703125" style="31" customWidth="1"/>
    <col min="5" max="5" width="16.7109375" style="31" customWidth="1"/>
    <col min="6" max="6" width="1.5703125" style="31" customWidth="1"/>
    <col min="7" max="7" width="16.7109375" style="31" customWidth="1"/>
    <col min="8" max="8" width="1.5703125" style="31" customWidth="1"/>
    <col min="9" max="9" width="16.7109375" style="31" customWidth="1"/>
    <col min="10" max="10" width="1.5703125" style="31" customWidth="1"/>
    <col min="11" max="11" width="40.28515625" style="31" customWidth="1"/>
    <col min="12" max="12" width="5.28515625" style="31" customWidth="1"/>
    <col min="13" max="13" width="9.28515625" style="31"/>
    <col min="14" max="14" width="20.42578125" style="31" bestFit="1" customWidth="1"/>
    <col min="15" max="16384" width="9.28515625" style="31"/>
  </cols>
  <sheetData>
    <row r="1" spans="1:14" x14ac:dyDescent="0.25">
      <c r="H1" s="4"/>
      <c r="I1" s="4"/>
      <c r="J1" s="4"/>
      <c r="K1" s="4"/>
      <c r="L1" s="4"/>
    </row>
    <row r="2" spans="1:14" x14ac:dyDescent="0.25">
      <c r="B2" s="1316" t="s">
        <v>0</v>
      </c>
      <c r="C2" s="1316"/>
      <c r="D2" s="1316"/>
      <c r="E2" s="1316"/>
      <c r="F2" s="1316"/>
      <c r="G2" s="1316"/>
      <c r="H2" s="1316"/>
      <c r="I2" s="1316"/>
      <c r="J2" s="1316"/>
      <c r="K2" s="1316"/>
      <c r="L2" s="4"/>
    </row>
    <row r="3" spans="1:14" x14ac:dyDescent="0.25">
      <c r="B3" s="1316" t="s">
        <v>393</v>
      </c>
      <c r="C3" s="1316"/>
      <c r="D3" s="1316"/>
      <c r="E3" s="1316"/>
      <c r="F3" s="1316"/>
      <c r="G3" s="1316"/>
      <c r="H3" s="1316"/>
      <c r="I3" s="1316"/>
      <c r="J3" s="1316"/>
      <c r="K3" s="1316"/>
      <c r="L3" s="4"/>
    </row>
    <row r="4" spans="1:14" x14ac:dyDescent="0.25">
      <c r="B4" s="1316" t="s">
        <v>394</v>
      </c>
      <c r="C4" s="1316"/>
      <c r="D4" s="1316"/>
      <c r="E4" s="1316"/>
      <c r="F4" s="1316"/>
      <c r="G4" s="1316"/>
      <c r="H4" s="1316"/>
      <c r="I4" s="1316"/>
      <c r="J4" s="1316"/>
      <c r="K4" s="1316"/>
      <c r="L4" s="4"/>
    </row>
    <row r="5" spans="1:14" x14ac:dyDescent="0.25">
      <c r="B5" s="1318" t="str">
        <f>'Stmt AD'!B5</f>
        <v>Base Period &amp; True-Up Period 12 - Months Ending December 31, 2025</v>
      </c>
      <c r="C5" s="1318"/>
      <c r="D5" s="1318"/>
      <c r="E5" s="1318"/>
      <c r="F5" s="1318"/>
      <c r="G5" s="1318"/>
      <c r="H5" s="1318"/>
      <c r="I5" s="1318"/>
      <c r="J5" s="1318"/>
      <c r="K5" s="1318"/>
      <c r="L5" s="4"/>
    </row>
    <row r="6" spans="1:14" x14ac:dyDescent="0.25">
      <c r="B6" s="1312" t="s">
        <v>4</v>
      </c>
      <c r="C6" s="1313"/>
      <c r="D6" s="1313"/>
      <c r="E6" s="1313"/>
      <c r="F6" s="1313"/>
      <c r="G6" s="1313"/>
      <c r="H6" s="1313"/>
      <c r="I6" s="1313"/>
      <c r="J6" s="1313"/>
      <c r="K6" s="1313"/>
      <c r="L6" s="4"/>
    </row>
    <row r="7" spans="1:14" x14ac:dyDescent="0.25">
      <c r="B7" s="4"/>
      <c r="C7" s="4"/>
      <c r="D7" s="4"/>
      <c r="E7" s="4"/>
      <c r="F7" s="4"/>
      <c r="G7" s="4"/>
      <c r="H7" s="4"/>
      <c r="I7" s="4"/>
      <c r="J7" s="4"/>
      <c r="K7" s="4"/>
      <c r="L7" s="4"/>
    </row>
    <row r="8" spans="1:14" x14ac:dyDescent="0.25">
      <c r="A8" s="4" t="s">
        <v>5</v>
      </c>
      <c r="B8" s="217"/>
      <c r="C8" s="4" t="s">
        <v>210</v>
      </c>
      <c r="D8" s="217"/>
      <c r="E8" s="34" t="s">
        <v>187</v>
      </c>
      <c r="F8" s="4"/>
      <c r="G8" s="34" t="s">
        <v>188</v>
      </c>
      <c r="H8" s="4"/>
      <c r="I8" s="34" t="s">
        <v>211</v>
      </c>
      <c r="J8" s="4"/>
      <c r="K8" s="4"/>
      <c r="L8" s="4" t="s">
        <v>5</v>
      </c>
    </row>
    <row r="9" spans="1:14" x14ac:dyDescent="0.25">
      <c r="A9" s="4" t="s">
        <v>6</v>
      </c>
      <c r="C9" s="848" t="s">
        <v>212</v>
      </c>
      <c r="E9" s="967">
        <f>'Stmt AD'!E9</f>
        <v>45657</v>
      </c>
      <c r="F9" s="217"/>
      <c r="G9" s="967">
        <f>'Stmt AD'!G9</f>
        <v>46022</v>
      </c>
      <c r="H9" s="217"/>
      <c r="I9" s="849" t="s">
        <v>213</v>
      </c>
      <c r="J9" s="217"/>
      <c r="K9" s="848" t="s">
        <v>8</v>
      </c>
      <c r="L9" s="4" t="s">
        <v>6</v>
      </c>
    </row>
    <row r="10" spans="1:14" x14ac:dyDescent="0.25">
      <c r="H10" s="4"/>
      <c r="I10" s="4"/>
      <c r="J10" s="4"/>
      <c r="K10" s="4"/>
      <c r="L10" s="4"/>
    </row>
    <row r="11" spans="1:14" s="254" customFormat="1" x14ac:dyDescent="0.25">
      <c r="A11" s="4">
        <v>1</v>
      </c>
      <c r="B11" s="31" t="s">
        <v>395</v>
      </c>
      <c r="C11" s="4" t="s">
        <v>396</v>
      </c>
      <c r="D11" s="31"/>
      <c r="E11" s="1268">
        <f>'AF-1'!I18</f>
        <v>101983.40488711957</v>
      </c>
      <c r="F11" s="1086"/>
      <c r="G11" s="82">
        <f>'AF-2'!I18</f>
        <v>101307.88769140998</v>
      </c>
      <c r="H11" s="4"/>
      <c r="I11" s="35">
        <f>(E11+G11)/2</f>
        <v>101645.64628926478</v>
      </c>
      <c r="J11" s="4"/>
      <c r="K11" s="4" t="s">
        <v>397</v>
      </c>
      <c r="L11" s="4">
        <f>A11</f>
        <v>1</v>
      </c>
      <c r="M11" s="31"/>
    </row>
    <row r="12" spans="1:14" s="254" customFormat="1" x14ac:dyDescent="0.25">
      <c r="A12" s="4">
        <f>A11+1</f>
        <v>2</v>
      </c>
      <c r="B12" s="31"/>
      <c r="C12" s="31"/>
      <c r="D12" s="31"/>
      <c r="E12" s="31"/>
      <c r="F12" s="31"/>
      <c r="G12" s="31"/>
      <c r="H12" s="4"/>
      <c r="I12" s="4"/>
      <c r="J12" s="4"/>
      <c r="K12" s="4"/>
      <c r="L12" s="4">
        <f>L11+1</f>
        <v>2</v>
      </c>
    </row>
    <row r="13" spans="1:14" s="254" customFormat="1" x14ac:dyDescent="0.25">
      <c r="A13" s="4">
        <f>A12+1</f>
        <v>3</v>
      </c>
      <c r="B13" s="31" t="s">
        <v>398</v>
      </c>
      <c r="C13" s="4" t="s">
        <v>399</v>
      </c>
      <c r="D13" s="31"/>
      <c r="E13" s="83">
        <f>'AF-1'!I25</f>
        <v>-1243244.4245559722</v>
      </c>
      <c r="F13" s="1086"/>
      <c r="G13" s="83">
        <f>'AF-2'!I25</f>
        <v>-1267122.4521832599</v>
      </c>
      <c r="H13" s="4"/>
      <c r="I13" s="84">
        <f>(E13+G13)/2</f>
        <v>-1255183.4383696159</v>
      </c>
      <c r="J13" s="4"/>
      <c r="K13" s="4" t="s">
        <v>400</v>
      </c>
      <c r="L13" s="4">
        <f>L12+1</f>
        <v>3</v>
      </c>
      <c r="M13" s="31"/>
    </row>
    <row r="14" spans="1:14" s="254" customFormat="1" x14ac:dyDescent="0.25">
      <c r="A14" s="4">
        <f t="shared" ref="A14:A15" si="0">A13+1</f>
        <v>4</v>
      </c>
      <c r="B14" s="31"/>
      <c r="C14" s="31"/>
      <c r="D14" s="31"/>
      <c r="E14" s="31"/>
      <c r="F14" s="31"/>
      <c r="G14" s="31"/>
      <c r="H14" s="4"/>
      <c r="I14" s="4"/>
      <c r="J14" s="4"/>
      <c r="K14" s="4"/>
      <c r="L14" s="4">
        <f t="shared" ref="L14:L20" si="1">L13+1</f>
        <v>4</v>
      </c>
      <c r="M14" s="31"/>
    </row>
    <row r="15" spans="1:14" s="254" customFormat="1" x14ac:dyDescent="0.25">
      <c r="A15" s="4">
        <f t="shared" si="0"/>
        <v>5</v>
      </c>
      <c r="B15" s="31" t="s">
        <v>401</v>
      </c>
      <c r="C15" s="4" t="s">
        <v>402</v>
      </c>
      <c r="D15" s="31"/>
      <c r="E15" s="918">
        <f>'AF-1'!I33</f>
        <v>-10383.075545153648</v>
      </c>
      <c r="F15" s="31"/>
      <c r="G15" s="918">
        <f>'AF-2'!I33</f>
        <v>-12068.310841488094</v>
      </c>
      <c r="H15" s="4"/>
      <c r="I15" s="973">
        <f>(E15+G15)/2</f>
        <v>-11225.693193320871</v>
      </c>
      <c r="J15" s="4"/>
      <c r="K15" s="4" t="s">
        <v>403</v>
      </c>
      <c r="L15" s="4">
        <f t="shared" si="1"/>
        <v>5</v>
      </c>
      <c r="M15" s="31"/>
      <c r="N15" s="31"/>
    </row>
    <row r="16" spans="1:14" x14ac:dyDescent="0.25">
      <c r="A16" s="4">
        <f>A15+1</f>
        <v>6</v>
      </c>
      <c r="E16" s="35"/>
      <c r="F16" s="35"/>
      <c r="G16" s="35"/>
      <c r="I16" s="35"/>
      <c r="J16" s="4"/>
      <c r="K16" s="4"/>
      <c r="L16" s="4">
        <f>L15+1</f>
        <v>6</v>
      </c>
    </row>
    <row r="17" spans="1:12" ht="19.5" thickBot="1" x14ac:dyDescent="0.3">
      <c r="A17" s="4">
        <f t="shared" ref="A17:A19" si="2">A16+1</f>
        <v>7</v>
      </c>
      <c r="B17" s="31" t="s">
        <v>404</v>
      </c>
      <c r="C17" s="4"/>
      <c r="E17" s="37">
        <f>SUM(E11:E15)</f>
        <v>-1151644.0952140063</v>
      </c>
      <c r="F17" s="1086"/>
      <c r="G17" s="37">
        <f>SUM(G11:G15)</f>
        <v>-1177882.875333338</v>
      </c>
      <c r="H17" s="85"/>
      <c r="I17" s="37">
        <f>SUM(I11:I15)</f>
        <v>-1164763.485273672</v>
      </c>
      <c r="J17" s="4"/>
      <c r="K17" s="46" t="s">
        <v>14</v>
      </c>
      <c r="L17" s="4">
        <f t="shared" si="1"/>
        <v>7</v>
      </c>
    </row>
    <row r="18" spans="1:12" ht="16.5" thickTop="1" x14ac:dyDescent="0.25">
      <c r="A18" s="4">
        <f t="shared" si="2"/>
        <v>8</v>
      </c>
      <c r="J18" s="4"/>
      <c r="K18" s="337"/>
      <c r="L18" s="4">
        <f t="shared" si="1"/>
        <v>8</v>
      </c>
    </row>
    <row r="19" spans="1:12" ht="16.5" thickBot="1" x14ac:dyDescent="0.3">
      <c r="A19" s="4">
        <f t="shared" si="2"/>
        <v>9</v>
      </c>
      <c r="B19" s="31" t="s">
        <v>405</v>
      </c>
      <c r="E19" s="91">
        <f>'AF-3'!C11</f>
        <v>0</v>
      </c>
      <c r="F19" s="35"/>
      <c r="G19" s="91">
        <f>'AF-3'!E11</f>
        <v>0</v>
      </c>
      <c r="H19" s="35"/>
      <c r="I19" s="37">
        <f>(E19+G19)/2</f>
        <v>0</v>
      </c>
      <c r="K19" s="4" t="s">
        <v>406</v>
      </c>
      <c r="L19" s="4">
        <f t="shared" si="1"/>
        <v>9</v>
      </c>
    </row>
    <row r="20" spans="1:12" ht="16.5" thickTop="1" x14ac:dyDescent="0.25">
      <c r="A20" s="4">
        <f t="shared" ref="A20:A25" si="3">A19+1</f>
        <v>10</v>
      </c>
      <c r="E20" s="1"/>
      <c r="F20" s="1"/>
      <c r="G20" s="1"/>
      <c r="H20" s="1"/>
      <c r="I20" s="1"/>
      <c r="K20" s="4"/>
      <c r="L20" s="4">
        <f t="shared" si="1"/>
        <v>10</v>
      </c>
    </row>
    <row r="21" spans="1:12" ht="16.5" thickBot="1" x14ac:dyDescent="0.3">
      <c r="A21" s="4">
        <f t="shared" si="3"/>
        <v>11</v>
      </c>
      <c r="B21" s="31" t="s">
        <v>407</v>
      </c>
      <c r="E21" s="91">
        <f>'AF-3'!C13</f>
        <v>0</v>
      </c>
      <c r="F21" s="86"/>
      <c r="G21" s="91">
        <f>'AF-3'!E13</f>
        <v>0</v>
      </c>
      <c r="H21" s="86"/>
      <c r="I21" s="37">
        <f>(E21+G21)/2</f>
        <v>0</v>
      </c>
      <c r="K21" s="4" t="s">
        <v>408</v>
      </c>
      <c r="L21" s="4">
        <f t="shared" ref="L21:L25" si="4">L20+1</f>
        <v>11</v>
      </c>
    </row>
    <row r="22" spans="1:12" ht="16.5" thickTop="1" x14ac:dyDescent="0.25">
      <c r="A22" s="4">
        <f t="shared" si="3"/>
        <v>12</v>
      </c>
      <c r="E22" s="1"/>
      <c r="F22" s="1"/>
      <c r="G22" s="1"/>
      <c r="H22" s="1"/>
      <c r="I22" s="1"/>
      <c r="L22" s="4">
        <f t="shared" si="4"/>
        <v>12</v>
      </c>
    </row>
    <row r="23" spans="1:12" ht="16.5" thickBot="1" x14ac:dyDescent="0.3">
      <c r="A23" s="4">
        <f t="shared" si="3"/>
        <v>13</v>
      </c>
      <c r="B23" s="31" t="s">
        <v>409</v>
      </c>
      <c r="E23" s="91">
        <f>'AF-3'!C15</f>
        <v>0</v>
      </c>
      <c r="F23" s="35"/>
      <c r="G23" s="91">
        <f>'AF-3'!E15</f>
        <v>0</v>
      </c>
      <c r="H23" s="35"/>
      <c r="I23" s="37">
        <f>(E23+G23)/2</f>
        <v>0</v>
      </c>
      <c r="K23" s="4" t="s">
        <v>410</v>
      </c>
      <c r="L23" s="4">
        <f t="shared" si="4"/>
        <v>13</v>
      </c>
    </row>
    <row r="24" spans="1:12" ht="16.5" thickTop="1" x14ac:dyDescent="0.25">
      <c r="A24" s="4">
        <f t="shared" si="3"/>
        <v>14</v>
      </c>
      <c r="L24" s="4">
        <f t="shared" si="4"/>
        <v>14</v>
      </c>
    </row>
    <row r="25" spans="1:12" ht="16.5" thickBot="1" x14ac:dyDescent="0.3">
      <c r="A25" s="4">
        <f t="shared" si="3"/>
        <v>15</v>
      </c>
      <c r="B25" s="31" t="s">
        <v>1641</v>
      </c>
      <c r="E25" s="1147">
        <f>'AF-4'!C11</f>
        <v>-769044.26393620041</v>
      </c>
      <c r="F25" s="1180"/>
      <c r="G25" s="1147">
        <f>'AF-4'!E11</f>
        <v>-828950.11808674922</v>
      </c>
      <c r="I25" s="37">
        <f>(E25+G25)/2</f>
        <v>-798997.19101147482</v>
      </c>
      <c r="K25" s="4" t="s">
        <v>1640</v>
      </c>
      <c r="L25" s="4">
        <f t="shared" si="4"/>
        <v>15</v>
      </c>
    </row>
    <row r="26" spans="1:12" ht="16.5" thickTop="1" x14ac:dyDescent="0.25"/>
    <row r="28" spans="1:12" x14ac:dyDescent="0.25">
      <c r="A28" s="1086"/>
      <c r="B28" s="1087"/>
    </row>
    <row r="29" spans="1:12" ht="18.75" x14ac:dyDescent="0.25">
      <c r="A29" s="252">
        <v>1</v>
      </c>
      <c r="B29" s="31" t="s">
        <v>411</v>
      </c>
    </row>
    <row r="30" spans="1:12" ht="18.75" x14ac:dyDescent="0.25">
      <c r="A30" s="252">
        <v>2</v>
      </c>
      <c r="B30" s="31" t="s">
        <v>109</v>
      </c>
    </row>
  </sheetData>
  <mergeCells count="5">
    <mergeCell ref="B2:K2"/>
    <mergeCell ref="B3:K3"/>
    <mergeCell ref="B4:K4"/>
    <mergeCell ref="B5:K5"/>
    <mergeCell ref="B6:K6"/>
  </mergeCells>
  <printOptions horizontalCentered="1"/>
  <pageMargins left="0.5" right="0.5" top="0.5" bottom="0.5" header="0.25" footer="0.25"/>
  <pageSetup scale="48" orientation="portrait" r:id="rId1"/>
  <headerFooter scaleWithDoc="0">
    <oddFooter>&amp;C&amp;"Times New Roman,Regular"&amp;10&amp;A</oddFooter>
  </headerFooter>
  <customProperties>
    <customPr name="_pios_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5DEA9-CD86-4474-BC18-A6F152E25925}">
  <sheetPr>
    <pageSetUpPr fitToPage="1"/>
  </sheetPr>
  <dimension ref="A2:N44"/>
  <sheetViews>
    <sheetView topLeftCell="A9" zoomScale="80" zoomScaleNormal="80" workbookViewId="0">
      <selection activeCell="K35" sqref="K35"/>
    </sheetView>
  </sheetViews>
  <sheetFormatPr defaultColWidth="8.5703125" defaultRowHeight="15.75" x14ac:dyDescent="0.25"/>
  <cols>
    <col min="1" max="1" width="5.5703125" style="4" customWidth="1"/>
    <col min="2" max="2" width="52.28515625" style="31" customWidth="1"/>
    <col min="3" max="3" width="16.7109375" style="31" customWidth="1"/>
    <col min="4" max="4" width="1.5703125" style="31" customWidth="1"/>
    <col min="5" max="5" width="20.42578125" style="31" customWidth="1"/>
    <col min="6" max="6" width="1.5703125" style="31" customWidth="1"/>
    <col min="7" max="7" width="20.42578125" style="31" customWidth="1"/>
    <col min="8" max="8" width="1.5703125" style="31" customWidth="1"/>
    <col min="9" max="9" width="23.42578125" style="31" bestFit="1" customWidth="1"/>
    <col min="10" max="10" width="2.28515625" style="31" bestFit="1" customWidth="1"/>
    <col min="11" max="11" width="62.5703125" style="31" customWidth="1"/>
    <col min="12" max="12" width="5.42578125" style="4" customWidth="1"/>
    <col min="13" max="13" width="18.42578125" style="31" bestFit="1" customWidth="1"/>
    <col min="14" max="16384" width="8.5703125" style="31"/>
  </cols>
  <sheetData>
    <row r="2" spans="1:14" x14ac:dyDescent="0.25">
      <c r="B2" s="1316" t="s">
        <v>0</v>
      </c>
      <c r="C2" s="1316"/>
      <c r="D2" s="1316"/>
      <c r="E2" s="1316"/>
      <c r="F2" s="1316"/>
      <c r="G2" s="1316"/>
      <c r="H2" s="1316"/>
      <c r="I2" s="1316"/>
      <c r="J2" s="1316"/>
      <c r="K2" s="1316"/>
    </row>
    <row r="3" spans="1:14" x14ac:dyDescent="0.25">
      <c r="B3" s="1316" t="s">
        <v>412</v>
      </c>
      <c r="C3" s="1316"/>
      <c r="D3" s="1316"/>
      <c r="E3" s="1316"/>
      <c r="F3" s="1316"/>
      <c r="G3" s="1316"/>
      <c r="H3" s="1316"/>
      <c r="I3" s="1316"/>
      <c r="J3" s="1316"/>
      <c r="K3" s="1316"/>
    </row>
    <row r="4" spans="1:14" x14ac:dyDescent="0.25">
      <c r="B4" s="1316" t="s">
        <v>413</v>
      </c>
      <c r="C4" s="1316"/>
      <c r="D4" s="1316"/>
      <c r="E4" s="1316"/>
      <c r="F4" s="1316"/>
      <c r="G4" s="1316"/>
      <c r="H4" s="1316"/>
      <c r="I4" s="1316"/>
      <c r="J4" s="1316"/>
      <c r="K4" s="1316"/>
    </row>
    <row r="5" spans="1:14" x14ac:dyDescent="0.25">
      <c r="B5" s="1316" t="s">
        <v>1953</v>
      </c>
      <c r="C5" s="1316"/>
      <c r="D5" s="1316"/>
      <c r="E5" s="1316"/>
      <c r="F5" s="1316"/>
      <c r="G5" s="1316"/>
      <c r="H5" s="1316"/>
      <c r="I5" s="1316"/>
      <c r="J5" s="1316"/>
      <c r="K5" s="1316"/>
    </row>
    <row r="6" spans="1:14" ht="15.75" customHeight="1" x14ac:dyDescent="0.25">
      <c r="B6" s="1312" t="s">
        <v>4</v>
      </c>
      <c r="C6" s="1312"/>
      <c r="D6" s="1312"/>
      <c r="E6" s="1312"/>
      <c r="F6" s="1312"/>
      <c r="G6" s="1312"/>
      <c r="H6" s="1312"/>
      <c r="I6" s="1312"/>
      <c r="J6" s="1312"/>
      <c r="K6" s="1312"/>
    </row>
    <row r="8" spans="1:14" x14ac:dyDescent="0.25">
      <c r="B8" s="1"/>
      <c r="C8" s="261" t="s">
        <v>187</v>
      </c>
      <c r="D8" s="261"/>
      <c r="E8" s="261" t="s">
        <v>188</v>
      </c>
      <c r="F8" s="261"/>
      <c r="G8" s="261" t="s">
        <v>189</v>
      </c>
      <c r="H8" s="261"/>
      <c r="I8" s="261" t="s">
        <v>414</v>
      </c>
      <c r="J8" s="261"/>
      <c r="K8" s="261"/>
    </row>
    <row r="9" spans="1:14" ht="18.75" x14ac:dyDescent="0.25">
      <c r="A9" s="4" t="s">
        <v>5</v>
      </c>
      <c r="B9" s="1"/>
      <c r="C9" s="261" t="s">
        <v>415</v>
      </c>
      <c r="D9" s="261"/>
      <c r="E9" s="261" t="s">
        <v>416</v>
      </c>
      <c r="F9" s="261"/>
      <c r="G9" s="261" t="s">
        <v>417</v>
      </c>
      <c r="H9" s="261"/>
      <c r="I9" s="261"/>
      <c r="J9" s="261"/>
      <c r="K9" s="261"/>
      <c r="L9" s="4" t="s">
        <v>5</v>
      </c>
    </row>
    <row r="10" spans="1:14" x14ac:dyDescent="0.25">
      <c r="A10" s="4" t="s">
        <v>6</v>
      </c>
      <c r="B10" s="927" t="s">
        <v>311</v>
      </c>
      <c r="C10" s="727" t="s">
        <v>418</v>
      </c>
      <c r="D10" s="727"/>
      <c r="E10" s="727" t="s">
        <v>419</v>
      </c>
      <c r="F10" s="727"/>
      <c r="G10" s="727" t="s">
        <v>420</v>
      </c>
      <c r="H10" s="727"/>
      <c r="I10" s="927" t="s">
        <v>180</v>
      </c>
      <c r="J10" s="927"/>
      <c r="K10" s="927" t="s">
        <v>8</v>
      </c>
      <c r="L10" s="4" t="s">
        <v>6</v>
      </c>
    </row>
    <row r="11" spans="1:14" x14ac:dyDescent="0.25">
      <c r="B11" s="1"/>
      <c r="C11" s="338"/>
      <c r="D11" s="338"/>
      <c r="E11" s="338"/>
      <c r="F11" s="338"/>
      <c r="G11" s="338"/>
      <c r="H11" s="338"/>
      <c r="I11" s="90"/>
      <c r="J11" s="90"/>
      <c r="K11" s="90"/>
    </row>
    <row r="12" spans="1:14" x14ac:dyDescent="0.25">
      <c r="A12" s="4">
        <v>1</v>
      </c>
      <c r="B12" s="32" t="s">
        <v>421</v>
      </c>
      <c r="C12" s="89"/>
      <c r="D12" s="89"/>
      <c r="E12" s="89"/>
      <c r="F12" s="89"/>
      <c r="G12" s="89"/>
      <c r="H12" s="89"/>
      <c r="I12" s="90"/>
      <c r="J12" s="90"/>
      <c r="K12" s="90"/>
      <c r="L12" s="4">
        <f>A12</f>
        <v>1</v>
      </c>
    </row>
    <row r="13" spans="1:14" x14ac:dyDescent="0.25">
      <c r="A13" s="4">
        <f>A12+1</f>
        <v>2</v>
      </c>
      <c r="B13" s="32" t="s">
        <v>422</v>
      </c>
      <c r="C13" s="35">
        <v>1167.7252435076659</v>
      </c>
      <c r="D13" s="1086"/>
      <c r="E13" s="35">
        <f>SUM('Order 864-1'!M15:M17,'Order 864-1'!M19)</f>
        <v>0</v>
      </c>
      <c r="F13" s="35"/>
      <c r="G13" s="35">
        <f>SUM('Order 864-1'!N15:N17,'Order 864-1'!N19)</f>
        <v>0</v>
      </c>
      <c r="H13" s="87"/>
      <c r="I13" s="35">
        <f>SUM(C13:G13)</f>
        <v>1167.7252435076659</v>
      </c>
      <c r="J13" s="1086"/>
      <c r="K13" s="44" t="s">
        <v>2035</v>
      </c>
      <c r="L13" s="4">
        <f>L12+1</f>
        <v>2</v>
      </c>
    </row>
    <row r="14" spans="1:14" x14ac:dyDescent="0.25">
      <c r="A14" s="4">
        <f>A13+1</f>
        <v>3</v>
      </c>
      <c r="B14" s="32" t="s">
        <v>423</v>
      </c>
      <c r="C14" s="6">
        <v>0</v>
      </c>
      <c r="D14" s="6"/>
      <c r="E14" s="6">
        <f>'Order 864-1'!M27</f>
        <v>100815.6796436119</v>
      </c>
      <c r="F14" s="6"/>
      <c r="G14" s="6">
        <f>'Order 864-1'!N27</f>
        <v>0</v>
      </c>
      <c r="H14" s="6"/>
      <c r="I14" s="6">
        <f>SUM(C14:G14)</f>
        <v>100815.6796436119</v>
      </c>
      <c r="J14" s="6"/>
      <c r="K14" s="44" t="s">
        <v>2035</v>
      </c>
      <c r="L14" s="4">
        <f>L13+1</f>
        <v>3</v>
      </c>
      <c r="M14" s="883"/>
      <c r="N14" s="807"/>
    </row>
    <row r="15" spans="1:14" ht="18.75" x14ac:dyDescent="0.25">
      <c r="A15" s="4">
        <f>A14+1</f>
        <v>4</v>
      </c>
      <c r="B15" s="32" t="s">
        <v>1688</v>
      </c>
      <c r="C15" s="6">
        <v>0</v>
      </c>
      <c r="D15" s="35"/>
      <c r="E15" s="6">
        <v>0</v>
      </c>
      <c r="F15" s="35"/>
      <c r="G15" s="6">
        <v>0</v>
      </c>
      <c r="H15" s="87"/>
      <c r="I15" s="6">
        <f>SUM(C15:G15)</f>
        <v>0</v>
      </c>
      <c r="J15" s="6"/>
      <c r="K15" s="44" t="s">
        <v>1689</v>
      </c>
      <c r="L15" s="4">
        <f t="shared" ref="L15:L17" si="0">L14+1</f>
        <v>4</v>
      </c>
      <c r="M15" s="884"/>
      <c r="N15" s="807"/>
    </row>
    <row r="16" spans="1:14" x14ac:dyDescent="0.25">
      <c r="A16" s="4">
        <f>A15+1</f>
        <v>5</v>
      </c>
      <c r="B16" s="32"/>
      <c r="C16" s="6">
        <v>0</v>
      </c>
      <c r="D16" s="6"/>
      <c r="E16" s="6">
        <v>0</v>
      </c>
      <c r="F16" s="6"/>
      <c r="G16" s="6">
        <v>0</v>
      </c>
      <c r="H16" s="6"/>
      <c r="I16" s="6">
        <f>SUM(C16:G16)</f>
        <v>0</v>
      </c>
      <c r="J16" s="6"/>
      <c r="K16" s="6"/>
      <c r="L16" s="4">
        <f t="shared" si="0"/>
        <v>5</v>
      </c>
      <c r="M16" s="357"/>
    </row>
    <row r="17" spans="1:13" x14ac:dyDescent="0.25">
      <c r="A17" s="4">
        <f t="shared" ref="A17:A35" si="1">A16+1</f>
        <v>6</v>
      </c>
      <c r="C17" s="6">
        <v>0</v>
      </c>
      <c r="D17" s="6"/>
      <c r="E17" s="6">
        <v>0</v>
      </c>
      <c r="F17" s="6"/>
      <c r="G17" s="6">
        <v>0</v>
      </c>
      <c r="H17" s="6"/>
      <c r="I17" s="6">
        <f>SUM(C17:G17)</f>
        <v>0</v>
      </c>
      <c r="J17" s="6"/>
      <c r="K17" s="6"/>
      <c r="L17" s="4">
        <f t="shared" si="0"/>
        <v>6</v>
      </c>
      <c r="M17" s="884"/>
    </row>
    <row r="18" spans="1:13" ht="16.5" thickBot="1" x14ac:dyDescent="0.3">
      <c r="A18" s="4">
        <f t="shared" si="1"/>
        <v>7</v>
      </c>
      <c r="B18" s="339" t="s">
        <v>424</v>
      </c>
      <c r="C18" s="88">
        <f>SUM(C13:C17)</f>
        <v>1167.7252435076659</v>
      </c>
      <c r="D18" s="1086"/>
      <c r="E18" s="88">
        <f>SUM(E13:E17)</f>
        <v>100815.6796436119</v>
      </c>
      <c r="F18" s="43"/>
      <c r="G18" s="88">
        <f>SUM(G13:G17)</f>
        <v>0</v>
      </c>
      <c r="H18" s="6"/>
      <c r="I18" s="88">
        <f>SUM(I13:I17)</f>
        <v>101983.40488711957</v>
      </c>
      <c r="J18" s="1086"/>
      <c r="K18" s="44" t="s">
        <v>425</v>
      </c>
      <c r="L18" s="4">
        <f t="shared" ref="L18:L35" si="2">L17+1</f>
        <v>7</v>
      </c>
    </row>
    <row r="19" spans="1:13" ht="16.5" thickTop="1" x14ac:dyDescent="0.25">
      <c r="A19" s="4">
        <f t="shared" si="1"/>
        <v>8</v>
      </c>
      <c r="C19" s="84"/>
      <c r="D19" s="84"/>
      <c r="E19" s="84"/>
      <c r="F19" s="84"/>
      <c r="G19" s="84"/>
      <c r="H19" s="84"/>
      <c r="I19" s="84"/>
      <c r="J19" s="84"/>
      <c r="K19" s="84"/>
      <c r="L19" s="4">
        <f t="shared" si="2"/>
        <v>8</v>
      </c>
    </row>
    <row r="20" spans="1:13" x14ac:dyDescent="0.25">
      <c r="A20" s="4">
        <f t="shared" si="1"/>
        <v>9</v>
      </c>
      <c r="B20" s="32" t="s">
        <v>426</v>
      </c>
      <c r="C20" s="89"/>
      <c r="D20" s="89"/>
      <c r="E20" s="89"/>
      <c r="F20" s="89"/>
      <c r="G20" s="89"/>
      <c r="H20" s="89"/>
      <c r="I20" s="90"/>
      <c r="J20" s="90"/>
      <c r="K20" s="90"/>
      <c r="L20" s="4">
        <f t="shared" si="2"/>
        <v>9</v>
      </c>
    </row>
    <row r="21" spans="1:13" x14ac:dyDescent="0.25">
      <c r="A21" s="4">
        <f t="shared" si="1"/>
        <v>10</v>
      </c>
      <c r="B21" s="723" t="s">
        <v>423</v>
      </c>
      <c r="C21" s="35">
        <v>-895775.55474620045</v>
      </c>
      <c r="D21" s="1086"/>
      <c r="E21" s="35">
        <f>SUM('Order 864-1'!M29:M30,'Order 864-1'!M37,'Order 864-1'!M40)</f>
        <v>49388.319368799785</v>
      </c>
      <c r="F21" s="35"/>
      <c r="G21" s="35">
        <f>SUM('Order 864-1'!N29:N30,'Order 864-1'!N37,'Order 864-1'!N40)</f>
        <v>-396857.18917857157</v>
      </c>
      <c r="H21" s="35"/>
      <c r="I21" s="35">
        <f t="shared" ref="I21:I24" si="3">SUM(C21:G21)</f>
        <v>-1243244.4245559722</v>
      </c>
      <c r="J21" s="1086"/>
      <c r="K21" s="44" t="s">
        <v>263</v>
      </c>
      <c r="L21" s="4">
        <f t="shared" si="2"/>
        <v>10</v>
      </c>
    </row>
    <row r="22" spans="1:13" ht="18.75" x14ac:dyDescent="0.25">
      <c r="A22" s="4">
        <f t="shared" si="1"/>
        <v>11</v>
      </c>
      <c r="B22" s="32" t="s">
        <v>1688</v>
      </c>
      <c r="C22" s="6">
        <v>0</v>
      </c>
      <c r="D22" s="6"/>
      <c r="E22" s="6">
        <v>0</v>
      </c>
      <c r="F22" s="6"/>
      <c r="G22" s="6">
        <v>0</v>
      </c>
      <c r="H22" s="6"/>
      <c r="I22" s="6">
        <f t="shared" si="3"/>
        <v>0</v>
      </c>
      <c r="J22" s="6"/>
      <c r="K22" s="44" t="s">
        <v>1689</v>
      </c>
      <c r="L22" s="4">
        <f t="shared" si="2"/>
        <v>11</v>
      </c>
    </row>
    <row r="23" spans="1:13" x14ac:dyDescent="0.25">
      <c r="A23" s="4">
        <f t="shared" si="1"/>
        <v>12</v>
      </c>
      <c r="B23" s="723"/>
      <c r="C23" s="6">
        <v>0</v>
      </c>
      <c r="D23" s="6"/>
      <c r="E23" s="6">
        <v>0</v>
      </c>
      <c r="F23" s="6"/>
      <c r="G23" s="6">
        <v>0</v>
      </c>
      <c r="H23" s="6"/>
      <c r="I23" s="6">
        <f t="shared" si="3"/>
        <v>0</v>
      </c>
      <c r="J23" s="6"/>
      <c r="K23" s="806"/>
      <c r="L23" s="4">
        <f t="shared" si="2"/>
        <v>12</v>
      </c>
    </row>
    <row r="24" spans="1:13" x14ac:dyDescent="0.25">
      <c r="A24" s="4">
        <f t="shared" si="1"/>
        <v>13</v>
      </c>
      <c r="B24" s="723"/>
      <c r="C24" s="6">
        <v>0</v>
      </c>
      <c r="D24" s="6"/>
      <c r="E24" s="6">
        <v>0</v>
      </c>
      <c r="F24" s="6"/>
      <c r="G24" s="6">
        <v>0</v>
      </c>
      <c r="H24" s="6"/>
      <c r="I24" s="6">
        <f t="shared" si="3"/>
        <v>0</v>
      </c>
      <c r="J24" s="6"/>
      <c r="K24" s="806"/>
      <c r="L24" s="4">
        <f t="shared" si="2"/>
        <v>13</v>
      </c>
    </row>
    <row r="25" spans="1:13" ht="16.5" thickBot="1" x14ac:dyDescent="0.3">
      <c r="A25" s="4">
        <f t="shared" si="1"/>
        <v>14</v>
      </c>
      <c r="B25" s="339" t="s">
        <v>427</v>
      </c>
      <c r="C25" s="88">
        <f>SUM(C21:C24)</f>
        <v>-895775.55474620045</v>
      </c>
      <c r="D25" s="1086"/>
      <c r="E25" s="88">
        <f>SUM(E21:E24)</f>
        <v>49388.319368799785</v>
      </c>
      <c r="F25" s="43"/>
      <c r="G25" s="88">
        <f>SUM(G21:G24)</f>
        <v>-396857.18917857157</v>
      </c>
      <c r="H25" s="6"/>
      <c r="I25" s="88">
        <f>SUM(I21:I24)</f>
        <v>-1243244.4245559722</v>
      </c>
      <c r="J25" s="1086"/>
      <c r="K25" s="44" t="s">
        <v>428</v>
      </c>
      <c r="L25" s="4">
        <f t="shared" si="2"/>
        <v>14</v>
      </c>
    </row>
    <row r="26" spans="1:13" ht="16.5" thickTop="1" x14ac:dyDescent="0.25">
      <c r="A26" s="4">
        <f t="shared" si="1"/>
        <v>15</v>
      </c>
      <c r="L26" s="4">
        <f t="shared" si="2"/>
        <v>15</v>
      </c>
    </row>
    <row r="27" spans="1:13" x14ac:dyDescent="0.25">
      <c r="A27" s="4">
        <f t="shared" si="1"/>
        <v>16</v>
      </c>
      <c r="B27" s="32" t="s">
        <v>429</v>
      </c>
      <c r="C27" s="89"/>
      <c r="D27" s="89"/>
      <c r="E27" s="89"/>
      <c r="F27" s="89"/>
      <c r="G27" s="89"/>
      <c r="H27" s="89"/>
      <c r="I27" s="90"/>
      <c r="J27" s="90"/>
      <c r="K27" s="4"/>
      <c r="L27" s="4">
        <f t="shared" si="2"/>
        <v>16</v>
      </c>
    </row>
    <row r="28" spans="1:13" x14ac:dyDescent="0.25">
      <c r="A28" s="4">
        <f t="shared" si="1"/>
        <v>17</v>
      </c>
      <c r="B28" s="32" t="s">
        <v>422</v>
      </c>
      <c r="C28" s="35">
        <v>-10383.075545153648</v>
      </c>
      <c r="D28" s="35"/>
      <c r="E28" s="35">
        <f>SUM('Order 864-1'!M21:M22)</f>
        <v>0</v>
      </c>
      <c r="F28" s="35"/>
      <c r="G28" s="35">
        <f>SUM('Order 864-1'!N21:N22)</f>
        <v>0</v>
      </c>
      <c r="H28" s="87"/>
      <c r="I28" s="35">
        <f>SUM(C28:G28)</f>
        <v>-10383.075545153648</v>
      </c>
      <c r="J28" s="35"/>
      <c r="K28" s="44" t="s">
        <v>2036</v>
      </c>
      <c r="L28" s="4">
        <f t="shared" si="2"/>
        <v>17</v>
      </c>
    </row>
    <row r="29" spans="1:13" ht="18.75" x14ac:dyDescent="0.25">
      <c r="A29" s="4">
        <f t="shared" si="1"/>
        <v>18</v>
      </c>
      <c r="B29" s="32" t="s">
        <v>1688</v>
      </c>
      <c r="C29" s="6">
        <v>0</v>
      </c>
      <c r="D29" s="6"/>
      <c r="E29" s="6">
        <v>0</v>
      </c>
      <c r="F29" s="6"/>
      <c r="G29" s="6">
        <v>0</v>
      </c>
      <c r="H29" s="6"/>
      <c r="I29" s="6">
        <f>SUM(C29:G29)</f>
        <v>0</v>
      </c>
      <c r="J29" s="6"/>
      <c r="K29" s="44" t="s">
        <v>1689</v>
      </c>
      <c r="L29" s="4">
        <f t="shared" si="2"/>
        <v>18</v>
      </c>
    </row>
    <row r="30" spans="1:13" x14ac:dyDescent="0.25">
      <c r="A30" s="4">
        <f t="shared" si="1"/>
        <v>19</v>
      </c>
      <c r="B30" s="32"/>
      <c r="C30" s="6">
        <v>0</v>
      </c>
      <c r="D30" s="6"/>
      <c r="E30" s="6">
        <v>0</v>
      </c>
      <c r="F30" s="6"/>
      <c r="G30" s="6">
        <v>0</v>
      </c>
      <c r="H30" s="6"/>
      <c r="I30" s="6">
        <f>SUM(C30:G30)</f>
        <v>0</v>
      </c>
      <c r="J30" s="6"/>
      <c r="K30" s="6"/>
      <c r="L30" s="4">
        <f t="shared" si="2"/>
        <v>19</v>
      </c>
    </row>
    <row r="31" spans="1:13" x14ac:dyDescent="0.25">
      <c r="A31" s="4">
        <f t="shared" si="1"/>
        <v>20</v>
      </c>
      <c r="B31" s="32"/>
      <c r="C31" s="6">
        <v>0</v>
      </c>
      <c r="D31" s="6"/>
      <c r="E31" s="6">
        <v>0</v>
      </c>
      <c r="F31" s="6"/>
      <c r="G31" s="6">
        <v>0</v>
      </c>
      <c r="H31" s="6"/>
      <c r="I31" s="6">
        <f>SUM(C31:G31)</f>
        <v>0</v>
      </c>
      <c r="J31" s="6"/>
      <c r="K31" s="6"/>
      <c r="L31" s="4">
        <f t="shared" si="2"/>
        <v>20</v>
      </c>
    </row>
    <row r="32" spans="1:13" x14ac:dyDescent="0.25">
      <c r="A32" s="4">
        <f t="shared" si="1"/>
        <v>21</v>
      </c>
      <c r="B32" s="32"/>
      <c r="C32" s="6">
        <v>0</v>
      </c>
      <c r="D32" s="6"/>
      <c r="E32" s="6">
        <v>0</v>
      </c>
      <c r="F32" s="6"/>
      <c r="G32" s="6">
        <v>0</v>
      </c>
      <c r="H32" s="6"/>
      <c r="I32" s="6">
        <f>SUM(C32:G32)</f>
        <v>0</v>
      </c>
      <c r="J32" s="6"/>
      <c r="K32" s="6"/>
      <c r="L32" s="4">
        <f t="shared" si="2"/>
        <v>21</v>
      </c>
    </row>
    <row r="33" spans="1:12" ht="16.5" thickBot="1" x14ac:dyDescent="0.3">
      <c r="A33" s="4">
        <f t="shared" si="1"/>
        <v>22</v>
      </c>
      <c r="B33" s="339" t="s">
        <v>430</v>
      </c>
      <c r="C33" s="88">
        <f>SUM(C28:C32)</f>
        <v>-10383.075545153648</v>
      </c>
      <c r="D33" s="6"/>
      <c r="E33" s="88">
        <f>SUM(E28:E32)</f>
        <v>0</v>
      </c>
      <c r="F33" s="43"/>
      <c r="G33" s="88">
        <f>SUM(G28:G32)</f>
        <v>0</v>
      </c>
      <c r="H33" s="6"/>
      <c r="I33" s="88">
        <f>SUM(I28:I32)</f>
        <v>-10383.075545153648</v>
      </c>
      <c r="J33" s="43"/>
      <c r="K33" s="44" t="s">
        <v>431</v>
      </c>
      <c r="L33" s="4">
        <f t="shared" si="2"/>
        <v>22</v>
      </c>
    </row>
    <row r="34" spans="1:12" ht="16.5" thickTop="1" x14ac:dyDescent="0.25">
      <c r="A34" s="4">
        <f t="shared" si="1"/>
        <v>23</v>
      </c>
      <c r="L34" s="4">
        <f t="shared" si="2"/>
        <v>23</v>
      </c>
    </row>
    <row r="35" spans="1:12" ht="19.5" thickBot="1" x14ac:dyDescent="0.3">
      <c r="A35" s="4">
        <f t="shared" si="1"/>
        <v>24</v>
      </c>
      <c r="B35" s="1" t="s">
        <v>432</v>
      </c>
      <c r="C35" s="88">
        <f>+C18+C25+C33</f>
        <v>-904990.90504784649</v>
      </c>
      <c r="D35" s="1086"/>
      <c r="E35" s="88">
        <f>+E18+E25+E33</f>
        <v>150203.99901241169</v>
      </c>
      <c r="F35" s="43"/>
      <c r="G35" s="88">
        <f>+G18+G25+G33</f>
        <v>-396857.18917857157</v>
      </c>
      <c r="H35" s="35"/>
      <c r="I35" s="88">
        <f>+I18+I25+I33</f>
        <v>-1151644.0952140063</v>
      </c>
      <c r="J35" s="1086"/>
      <c r="K35" s="44" t="s">
        <v>433</v>
      </c>
      <c r="L35" s="4">
        <f t="shared" si="2"/>
        <v>24</v>
      </c>
    </row>
    <row r="36" spans="1:12" ht="16.5" thickTop="1" x14ac:dyDescent="0.25">
      <c r="B36" s="1"/>
      <c r="C36" s="43"/>
      <c r="D36" s="35"/>
      <c r="E36" s="43"/>
      <c r="F36" s="43"/>
      <c r="G36" s="43"/>
      <c r="H36" s="35"/>
      <c r="I36" s="43"/>
      <c r="J36" s="43"/>
      <c r="K36" s="44"/>
    </row>
    <row r="37" spans="1:12" x14ac:dyDescent="0.25">
      <c r="B37" s="1"/>
      <c r="C37" s="43"/>
      <c r="D37" s="35"/>
      <c r="E37" s="43"/>
      <c r="F37" s="43"/>
      <c r="G37" s="43"/>
      <c r="H37" s="35"/>
      <c r="I37" s="43"/>
      <c r="J37" s="43"/>
      <c r="K37" s="44"/>
    </row>
    <row r="38" spans="1:12" x14ac:dyDescent="0.25">
      <c r="A38" s="1086"/>
      <c r="B38" s="1087"/>
      <c r="E38" s="35"/>
      <c r="I38" s="35"/>
      <c r="J38" s="35"/>
    </row>
    <row r="39" spans="1:12" ht="18.75" x14ac:dyDescent="0.25">
      <c r="A39" s="252">
        <v>1</v>
      </c>
      <c r="B39" s="31" t="s">
        <v>434</v>
      </c>
    </row>
    <row r="40" spans="1:12" ht="18.75" x14ac:dyDescent="0.25">
      <c r="A40" s="252">
        <v>2</v>
      </c>
      <c r="B40" s="31" t="s">
        <v>435</v>
      </c>
    </row>
    <row r="41" spans="1:12" ht="18.75" x14ac:dyDescent="0.25">
      <c r="A41" s="252">
        <v>3</v>
      </c>
      <c r="B41" s="31" t="s">
        <v>436</v>
      </c>
    </row>
    <row r="42" spans="1:12" ht="18.75" x14ac:dyDescent="0.25">
      <c r="A42" s="252">
        <v>4</v>
      </c>
      <c r="B42" s="31" t="s">
        <v>2033</v>
      </c>
    </row>
    <row r="43" spans="1:12" x14ac:dyDescent="0.25">
      <c r="B43" s="31" t="s">
        <v>2034</v>
      </c>
    </row>
    <row r="44" spans="1:12" ht="18.75" x14ac:dyDescent="0.25">
      <c r="A44" s="252">
        <v>5</v>
      </c>
      <c r="B44" s="31" t="s">
        <v>1690</v>
      </c>
    </row>
  </sheetData>
  <mergeCells count="5">
    <mergeCell ref="B2:K2"/>
    <mergeCell ref="B3:K3"/>
    <mergeCell ref="B4:K4"/>
    <mergeCell ref="B5:K5"/>
    <mergeCell ref="B6:K6"/>
  </mergeCells>
  <phoneticPr fontId="56" type="noConversion"/>
  <printOptions horizontalCentered="1"/>
  <pageMargins left="0.5" right="0.5" top="0.5" bottom="0.5" header="0.25" footer="0.25"/>
  <pageSetup scale="60" orientation="landscape" r:id="rId1"/>
  <headerFooter scaleWithDoc="0">
    <oddFooter>&amp;C&amp;"Times New Roman,Regular"&amp;10&amp;A</oddFooter>
  </headerFooter>
  <customProperties>
    <customPr name="_pios_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2BFE3-8DDF-44B0-ABB1-40911DB62F3E}">
  <sheetPr>
    <pageSetUpPr fitToPage="1"/>
  </sheetPr>
  <dimension ref="A2:K43"/>
  <sheetViews>
    <sheetView topLeftCell="A7" zoomScale="80" zoomScaleNormal="80" workbookViewId="0">
      <selection activeCell="B5" sqref="B5:J5"/>
    </sheetView>
  </sheetViews>
  <sheetFormatPr defaultColWidth="8.5703125" defaultRowHeight="15.75" x14ac:dyDescent="0.25"/>
  <cols>
    <col min="1" max="1" width="5.42578125" style="4" customWidth="1"/>
    <col min="2" max="2" width="52.28515625" style="31" customWidth="1"/>
    <col min="3" max="3" width="16.7109375" style="31" customWidth="1"/>
    <col min="4" max="4" width="1.5703125" style="31" customWidth="1"/>
    <col min="5" max="5" width="20.42578125" style="31" customWidth="1"/>
    <col min="6" max="6" width="1.5703125" style="31" customWidth="1"/>
    <col min="7" max="7" width="20.42578125" style="31" customWidth="1"/>
    <col min="8" max="8" width="1.5703125" style="31" customWidth="1"/>
    <col min="9" max="9" width="23.42578125" style="31" bestFit="1" customWidth="1"/>
    <col min="10" max="10" width="62.5703125" style="31" customWidth="1"/>
    <col min="11" max="11" width="5.42578125" style="4" customWidth="1"/>
    <col min="12" max="16384" width="8.5703125" style="31"/>
  </cols>
  <sheetData>
    <row r="2" spans="1:11" x14ac:dyDescent="0.25">
      <c r="B2" s="1316" t="s">
        <v>0</v>
      </c>
      <c r="C2" s="1316"/>
      <c r="D2" s="1316"/>
      <c r="E2" s="1316"/>
      <c r="F2" s="1316"/>
      <c r="G2" s="1316"/>
      <c r="H2" s="1316"/>
      <c r="I2" s="1316"/>
      <c r="J2" s="1316"/>
    </row>
    <row r="3" spans="1:11" x14ac:dyDescent="0.25">
      <c r="B3" s="1316" t="s">
        <v>412</v>
      </c>
      <c r="C3" s="1316"/>
      <c r="D3" s="1316"/>
      <c r="E3" s="1316"/>
      <c r="F3" s="1316"/>
      <c r="G3" s="1316"/>
      <c r="H3" s="1316"/>
      <c r="I3" s="1316"/>
      <c r="J3" s="1316"/>
    </row>
    <row r="4" spans="1:11" x14ac:dyDescent="0.25">
      <c r="B4" s="1316" t="s">
        <v>413</v>
      </c>
      <c r="C4" s="1316"/>
      <c r="D4" s="1316"/>
      <c r="E4" s="1316"/>
      <c r="F4" s="1316"/>
      <c r="G4" s="1316"/>
      <c r="H4" s="1316"/>
      <c r="I4" s="1316"/>
      <c r="J4" s="1316"/>
    </row>
    <row r="5" spans="1:11" x14ac:dyDescent="0.25">
      <c r="B5" s="1316" t="s">
        <v>2026</v>
      </c>
      <c r="C5" s="1316"/>
      <c r="D5" s="1316"/>
      <c r="E5" s="1316"/>
      <c r="F5" s="1316"/>
      <c r="G5" s="1316"/>
      <c r="H5" s="1316"/>
      <c r="I5" s="1316"/>
      <c r="J5" s="1316"/>
    </row>
    <row r="6" spans="1:11" ht="15.75" customHeight="1" x14ac:dyDescent="0.25">
      <c r="B6" s="1312" t="s">
        <v>4</v>
      </c>
      <c r="C6" s="1312"/>
      <c r="D6" s="1312"/>
      <c r="E6" s="1312"/>
      <c r="F6" s="1312"/>
      <c r="G6" s="1312"/>
      <c r="H6" s="1312"/>
      <c r="I6" s="1312"/>
      <c r="J6" s="1312"/>
    </row>
    <row r="8" spans="1:11" x14ac:dyDescent="0.25">
      <c r="B8" s="1"/>
      <c r="C8" s="261" t="s">
        <v>187</v>
      </c>
      <c r="D8" s="261"/>
      <c r="E8" s="261" t="s">
        <v>188</v>
      </c>
      <c r="F8" s="261"/>
      <c r="G8" s="261" t="s">
        <v>189</v>
      </c>
      <c r="H8" s="261"/>
      <c r="I8" s="261" t="s">
        <v>414</v>
      </c>
      <c r="J8" s="261"/>
    </row>
    <row r="9" spans="1:11" ht="18.75" x14ac:dyDescent="0.25">
      <c r="A9" s="4" t="s">
        <v>5</v>
      </c>
      <c r="B9" s="1"/>
      <c r="C9" s="261" t="s">
        <v>415</v>
      </c>
      <c r="D9" s="261"/>
      <c r="E9" s="261" t="s">
        <v>416</v>
      </c>
      <c r="F9" s="261"/>
      <c r="G9" s="261" t="s">
        <v>417</v>
      </c>
      <c r="H9" s="261"/>
      <c r="I9" s="261"/>
      <c r="J9" s="261"/>
      <c r="K9" s="4" t="s">
        <v>5</v>
      </c>
    </row>
    <row r="10" spans="1:11" x14ac:dyDescent="0.25">
      <c r="A10" s="4" t="s">
        <v>6</v>
      </c>
      <c r="B10" s="927" t="s">
        <v>311</v>
      </c>
      <c r="C10" s="727" t="s">
        <v>418</v>
      </c>
      <c r="D10" s="727"/>
      <c r="E10" s="727" t="s">
        <v>419</v>
      </c>
      <c r="F10" s="727"/>
      <c r="G10" s="727" t="s">
        <v>420</v>
      </c>
      <c r="H10" s="727"/>
      <c r="I10" s="927" t="s">
        <v>180</v>
      </c>
      <c r="J10" s="927" t="s">
        <v>8</v>
      </c>
      <c r="K10" s="4" t="s">
        <v>6</v>
      </c>
    </row>
    <row r="11" spans="1:11" x14ac:dyDescent="0.25">
      <c r="B11" s="1"/>
      <c r="C11" s="338"/>
      <c r="D11" s="338"/>
      <c r="E11" s="338"/>
      <c r="F11" s="338"/>
      <c r="G11" s="338"/>
      <c r="H11" s="338"/>
      <c r="I11" s="90"/>
      <c r="J11" s="90"/>
    </row>
    <row r="12" spans="1:11" x14ac:dyDescent="0.25">
      <c r="A12" s="4">
        <v>1</v>
      </c>
      <c r="B12" s="32" t="s">
        <v>421</v>
      </c>
      <c r="C12" s="89"/>
      <c r="D12" s="89"/>
      <c r="E12" s="89"/>
      <c r="F12" s="89"/>
      <c r="G12" s="89"/>
      <c r="H12" s="89"/>
      <c r="I12" s="90"/>
      <c r="J12" s="90"/>
      <c r="K12" s="4">
        <f>A12</f>
        <v>1</v>
      </c>
    </row>
    <row r="13" spans="1:11" x14ac:dyDescent="0.25">
      <c r="A13" s="4">
        <f>A12+1</f>
        <v>2</v>
      </c>
      <c r="B13" s="32" t="s">
        <v>422</v>
      </c>
      <c r="C13" s="35">
        <v>2143.9805262908058</v>
      </c>
      <c r="D13" s="35"/>
      <c r="E13" s="35">
        <f>SUM('Order 864-3'!M15:M17,'Order 864-3'!M19)</f>
        <v>0</v>
      </c>
      <c r="F13" s="35"/>
      <c r="G13" s="35">
        <f>SUM('Order 864-3'!N15:N17,'Order 864-3'!N19)</f>
        <v>0</v>
      </c>
      <c r="H13" s="87"/>
      <c r="I13" s="35">
        <f>SUM(C13:G13)</f>
        <v>2143.9805262908058</v>
      </c>
      <c r="J13" s="44" t="s">
        <v>2030</v>
      </c>
      <c r="K13" s="4">
        <f>K12+1</f>
        <v>2</v>
      </c>
    </row>
    <row r="14" spans="1:11" x14ac:dyDescent="0.25">
      <c r="A14" s="4">
        <f>A13+1</f>
        <v>3</v>
      </c>
      <c r="B14" s="32" t="s">
        <v>423</v>
      </c>
      <c r="C14" s="6">
        <v>0</v>
      </c>
      <c r="D14" s="6"/>
      <c r="E14" s="6">
        <f>'Order 864-3'!M27</f>
        <v>99163.907165119177</v>
      </c>
      <c r="F14" s="6"/>
      <c r="G14" s="6">
        <f>'Order 864-3'!N27</f>
        <v>0</v>
      </c>
      <c r="H14" s="6"/>
      <c r="I14" s="6">
        <f>SUM(C14:G14)</f>
        <v>99163.907165119177</v>
      </c>
      <c r="J14" s="44" t="s">
        <v>2030</v>
      </c>
      <c r="K14" s="4">
        <f>K13+1</f>
        <v>3</v>
      </c>
    </row>
    <row r="15" spans="1:11" ht="18.75" x14ac:dyDescent="0.25">
      <c r="A15" s="4">
        <f>A14+1</f>
        <v>4</v>
      </c>
      <c r="B15" s="32" t="s">
        <v>1688</v>
      </c>
      <c r="C15" s="6">
        <v>0</v>
      </c>
      <c r="D15" s="35"/>
      <c r="E15" s="6">
        <v>0</v>
      </c>
      <c r="F15" s="35"/>
      <c r="G15" s="6">
        <v>0</v>
      </c>
      <c r="H15" s="87"/>
      <c r="I15" s="6">
        <f>SUM(C15:G15)</f>
        <v>0</v>
      </c>
      <c r="J15" s="44" t="s">
        <v>1689</v>
      </c>
      <c r="K15" s="4">
        <f>K14+1</f>
        <v>4</v>
      </c>
    </row>
    <row r="16" spans="1:11" x14ac:dyDescent="0.25">
      <c r="A16" s="4">
        <f>A15+1</f>
        <v>5</v>
      </c>
      <c r="B16" s="32"/>
      <c r="C16" s="6">
        <v>0</v>
      </c>
      <c r="D16" s="6"/>
      <c r="E16" s="6">
        <v>0</v>
      </c>
      <c r="F16" s="6"/>
      <c r="G16" s="6">
        <v>0</v>
      </c>
      <c r="H16" s="6"/>
      <c r="I16" s="6">
        <f>SUM(C16:G16)</f>
        <v>0</v>
      </c>
      <c r="J16" s="6"/>
      <c r="K16" s="4">
        <f>K15+1</f>
        <v>5</v>
      </c>
    </row>
    <row r="17" spans="1:11" x14ac:dyDescent="0.25">
      <c r="A17" s="4">
        <f>A16+1</f>
        <v>6</v>
      </c>
      <c r="C17" s="6">
        <v>0</v>
      </c>
      <c r="D17" s="6"/>
      <c r="E17" s="6">
        <v>0</v>
      </c>
      <c r="F17" s="6"/>
      <c r="G17" s="6">
        <v>0</v>
      </c>
      <c r="H17" s="6"/>
      <c r="I17" s="6">
        <f>SUM(C17:G17)</f>
        <v>0</v>
      </c>
      <c r="J17" s="6"/>
      <c r="K17" s="4">
        <f>K16+1</f>
        <v>6</v>
      </c>
    </row>
    <row r="18" spans="1:11" ht="16.5" thickBot="1" x14ac:dyDescent="0.3">
      <c r="A18" s="4">
        <f t="shared" ref="A18" si="0">A17+1</f>
        <v>7</v>
      </c>
      <c r="B18" s="339" t="s">
        <v>424</v>
      </c>
      <c r="C18" s="88">
        <f>SUM(C13:C17)</f>
        <v>2143.9805262908058</v>
      </c>
      <c r="D18" s="6"/>
      <c r="E18" s="88">
        <f>SUM(E13:E17)</f>
        <v>99163.907165119177</v>
      </c>
      <c r="F18" s="43"/>
      <c r="G18" s="88">
        <f>SUM(G13:G17)</f>
        <v>0</v>
      </c>
      <c r="H18" s="6"/>
      <c r="I18" s="88">
        <f>SUM(I13:I17)</f>
        <v>101307.88769140998</v>
      </c>
      <c r="J18" s="44" t="s">
        <v>425</v>
      </c>
      <c r="K18" s="4">
        <f t="shared" ref="K18" si="1">K17+1</f>
        <v>7</v>
      </c>
    </row>
    <row r="19" spans="1:11" ht="16.5" thickTop="1" x14ac:dyDescent="0.25">
      <c r="A19" s="4">
        <f t="shared" ref="A19:A35" si="2">A18+1</f>
        <v>8</v>
      </c>
      <c r="C19" s="84"/>
      <c r="D19" s="84"/>
      <c r="E19" s="84"/>
      <c r="F19" s="84"/>
      <c r="G19" s="84"/>
      <c r="H19" s="84"/>
      <c r="I19" s="84"/>
      <c r="J19" s="84"/>
      <c r="K19" s="4">
        <f t="shared" ref="K19:K35" si="3">K18+1</f>
        <v>8</v>
      </c>
    </row>
    <row r="20" spans="1:11" x14ac:dyDescent="0.25">
      <c r="A20" s="4">
        <f t="shared" si="2"/>
        <v>9</v>
      </c>
      <c r="B20" s="32" t="s">
        <v>426</v>
      </c>
      <c r="C20" s="89"/>
      <c r="D20" s="89"/>
      <c r="E20" s="89"/>
      <c r="F20" s="89"/>
      <c r="G20" s="89"/>
      <c r="H20" s="89"/>
      <c r="I20" s="90"/>
      <c r="J20" s="90"/>
      <c r="K20" s="4">
        <f t="shared" si="3"/>
        <v>9</v>
      </c>
    </row>
    <row r="21" spans="1:11" x14ac:dyDescent="0.25">
      <c r="A21" s="4">
        <f t="shared" si="2"/>
        <v>10</v>
      </c>
      <c r="B21" s="723" t="s">
        <v>423</v>
      </c>
      <c r="C21" s="35">
        <v>-925195.08411654923</v>
      </c>
      <c r="D21" s="35"/>
      <c r="E21" s="35">
        <f>SUM('Order 864-3'!M29:M30,'Order 864-3'!M37,'Order 864-3'!M40)</f>
        <v>48417.241318799774</v>
      </c>
      <c r="F21" s="35"/>
      <c r="G21" s="35">
        <f>SUM('Order 864-3'!N29:N30,'Order 864-3'!N37,'Order 864-3'!N40)</f>
        <v>-390344.60938551044</v>
      </c>
      <c r="H21" s="35"/>
      <c r="I21" s="35">
        <f>SUM(C21:G21)</f>
        <v>-1267122.4521832599</v>
      </c>
      <c r="J21" s="44" t="s">
        <v>2031</v>
      </c>
      <c r="K21" s="4">
        <f t="shared" si="3"/>
        <v>10</v>
      </c>
    </row>
    <row r="22" spans="1:11" ht="18.75" x14ac:dyDescent="0.25">
      <c r="A22" s="4">
        <f t="shared" si="2"/>
        <v>11</v>
      </c>
      <c r="B22" s="32" t="s">
        <v>1688</v>
      </c>
      <c r="C22" s="6">
        <v>0</v>
      </c>
      <c r="D22" s="6"/>
      <c r="E22" s="6">
        <v>0</v>
      </c>
      <c r="F22" s="6"/>
      <c r="G22" s="6">
        <v>0</v>
      </c>
      <c r="H22" s="6"/>
      <c r="I22" s="6">
        <f>SUM(C22:G22)</f>
        <v>0</v>
      </c>
      <c r="J22" s="44" t="s">
        <v>1689</v>
      </c>
      <c r="K22" s="4">
        <f t="shared" si="3"/>
        <v>11</v>
      </c>
    </row>
    <row r="23" spans="1:11" x14ac:dyDescent="0.25">
      <c r="A23" s="4">
        <f t="shared" si="2"/>
        <v>12</v>
      </c>
      <c r="C23" s="6">
        <v>0</v>
      </c>
      <c r="D23" s="6"/>
      <c r="E23" s="6">
        <v>0</v>
      </c>
      <c r="F23" s="6"/>
      <c r="G23" s="6">
        <v>0</v>
      </c>
      <c r="H23" s="6"/>
      <c r="I23" s="6">
        <f>SUM(C23:G23)</f>
        <v>0</v>
      </c>
      <c r="J23" s="6"/>
      <c r="K23" s="4">
        <f t="shared" si="3"/>
        <v>12</v>
      </c>
    </row>
    <row r="24" spans="1:11" x14ac:dyDescent="0.25">
      <c r="A24" s="4">
        <f t="shared" si="2"/>
        <v>13</v>
      </c>
      <c r="C24" s="6">
        <v>0</v>
      </c>
      <c r="D24" s="6"/>
      <c r="E24" s="6">
        <v>0</v>
      </c>
      <c r="F24" s="6"/>
      <c r="G24" s="6">
        <v>0</v>
      </c>
      <c r="H24" s="6"/>
      <c r="I24" s="6">
        <f>SUM(C24:G24)</f>
        <v>0</v>
      </c>
      <c r="J24" s="6"/>
      <c r="K24" s="4">
        <f t="shared" si="3"/>
        <v>13</v>
      </c>
    </row>
    <row r="25" spans="1:11" ht="16.5" thickBot="1" x14ac:dyDescent="0.3">
      <c r="A25" s="4">
        <f t="shared" si="2"/>
        <v>14</v>
      </c>
      <c r="B25" s="339" t="s">
        <v>427</v>
      </c>
      <c r="C25" s="88">
        <f>SUM(C21:C24)</f>
        <v>-925195.08411654923</v>
      </c>
      <c r="D25" s="6"/>
      <c r="E25" s="88">
        <f>SUM(E21:E24)</f>
        <v>48417.241318799774</v>
      </c>
      <c r="F25" s="43"/>
      <c r="G25" s="88">
        <f>SUM(G21:G24)</f>
        <v>-390344.60938551044</v>
      </c>
      <c r="H25" s="6"/>
      <c r="I25" s="88">
        <f>SUM(I21:I24)</f>
        <v>-1267122.4521832599</v>
      </c>
      <c r="J25" s="44" t="s">
        <v>428</v>
      </c>
      <c r="K25" s="4">
        <f t="shared" si="3"/>
        <v>14</v>
      </c>
    </row>
    <row r="26" spans="1:11" ht="16.5" thickTop="1" x14ac:dyDescent="0.25">
      <c r="A26" s="4">
        <f t="shared" si="2"/>
        <v>15</v>
      </c>
      <c r="K26" s="4">
        <f t="shared" si="3"/>
        <v>15</v>
      </c>
    </row>
    <row r="27" spans="1:11" x14ac:dyDescent="0.25">
      <c r="A27" s="4">
        <f t="shared" si="2"/>
        <v>16</v>
      </c>
      <c r="B27" s="32" t="s">
        <v>429</v>
      </c>
      <c r="C27" s="89"/>
      <c r="D27" s="89"/>
      <c r="E27" s="89"/>
      <c r="F27" s="89"/>
      <c r="G27" s="89"/>
      <c r="H27" s="89"/>
      <c r="I27" s="90"/>
      <c r="J27" s="4"/>
      <c r="K27" s="4">
        <f t="shared" si="3"/>
        <v>16</v>
      </c>
    </row>
    <row r="28" spans="1:11" x14ac:dyDescent="0.25">
      <c r="A28" s="4">
        <f t="shared" si="2"/>
        <v>17</v>
      </c>
      <c r="B28" s="32" t="s">
        <v>422</v>
      </c>
      <c r="C28" s="35">
        <v>-12068.310841488094</v>
      </c>
      <c r="D28" s="35"/>
      <c r="E28" s="35">
        <f>SUM('Order 864-3'!M21:M22)</f>
        <v>0</v>
      </c>
      <c r="F28" s="35"/>
      <c r="G28" s="35">
        <f>SUM('Order 864-3'!N21:N22)</f>
        <v>0</v>
      </c>
      <c r="H28" s="35"/>
      <c r="I28" s="35">
        <f>SUM(C28:G28)</f>
        <v>-12068.310841488094</v>
      </c>
      <c r="J28" s="44" t="s">
        <v>2032</v>
      </c>
      <c r="K28" s="4">
        <f t="shared" si="3"/>
        <v>17</v>
      </c>
    </row>
    <row r="29" spans="1:11" ht="18.75" x14ac:dyDescent="0.25">
      <c r="A29" s="4">
        <f t="shared" si="2"/>
        <v>18</v>
      </c>
      <c r="B29" s="32" t="s">
        <v>1688</v>
      </c>
      <c r="C29" s="6">
        <v>0</v>
      </c>
      <c r="D29" s="6"/>
      <c r="E29" s="6">
        <v>0</v>
      </c>
      <c r="F29" s="6"/>
      <c r="G29" s="6">
        <v>0</v>
      </c>
      <c r="H29" s="6"/>
      <c r="I29" s="6">
        <f>SUM(C29:G29)</f>
        <v>0</v>
      </c>
      <c r="J29" s="44" t="s">
        <v>1689</v>
      </c>
      <c r="K29" s="4">
        <f t="shared" si="3"/>
        <v>18</v>
      </c>
    </row>
    <row r="30" spans="1:11" x14ac:dyDescent="0.25">
      <c r="A30" s="4">
        <f t="shared" si="2"/>
        <v>19</v>
      </c>
      <c r="B30" s="32"/>
      <c r="C30" s="6">
        <v>0</v>
      </c>
      <c r="D30" s="6"/>
      <c r="E30" s="6">
        <v>0</v>
      </c>
      <c r="F30" s="6"/>
      <c r="G30" s="6">
        <v>0</v>
      </c>
      <c r="H30" s="6"/>
      <c r="I30" s="6">
        <f>SUM(C30:G30)</f>
        <v>0</v>
      </c>
      <c r="J30" s="6"/>
      <c r="K30" s="4">
        <f t="shared" si="3"/>
        <v>19</v>
      </c>
    </row>
    <row r="31" spans="1:11" x14ac:dyDescent="0.25">
      <c r="A31" s="4">
        <f t="shared" si="2"/>
        <v>20</v>
      </c>
      <c r="B31" s="32"/>
      <c r="C31" s="6">
        <v>0</v>
      </c>
      <c r="D31" s="6"/>
      <c r="E31" s="6">
        <v>0</v>
      </c>
      <c r="F31" s="6"/>
      <c r="G31" s="6">
        <v>0</v>
      </c>
      <c r="H31" s="6"/>
      <c r="I31" s="6">
        <f>SUM(C31:G31)</f>
        <v>0</v>
      </c>
      <c r="J31" s="6"/>
      <c r="K31" s="4">
        <f t="shared" si="3"/>
        <v>20</v>
      </c>
    </row>
    <row r="32" spans="1:11" x14ac:dyDescent="0.25">
      <c r="A32" s="4">
        <f t="shared" si="2"/>
        <v>21</v>
      </c>
      <c r="B32" s="32"/>
      <c r="C32" s="6">
        <v>0</v>
      </c>
      <c r="D32" s="6"/>
      <c r="E32" s="6">
        <v>0</v>
      </c>
      <c r="F32" s="6"/>
      <c r="G32" s="6">
        <v>0</v>
      </c>
      <c r="H32" s="6"/>
      <c r="I32" s="6">
        <f>SUM(C32:G32)</f>
        <v>0</v>
      </c>
      <c r="J32" s="6"/>
      <c r="K32" s="4">
        <f t="shared" si="3"/>
        <v>21</v>
      </c>
    </row>
    <row r="33" spans="1:11" ht="16.5" thickBot="1" x14ac:dyDescent="0.3">
      <c r="A33" s="4">
        <f t="shared" si="2"/>
        <v>22</v>
      </c>
      <c r="B33" s="339" t="s">
        <v>430</v>
      </c>
      <c r="C33" s="88">
        <f>SUM(C28:C32)</f>
        <v>-12068.310841488094</v>
      </c>
      <c r="D33" s="6"/>
      <c r="E33" s="88">
        <f>SUM(E28:E32)</f>
        <v>0</v>
      </c>
      <c r="F33" s="43"/>
      <c r="G33" s="88">
        <f>SUM(G28:G32)</f>
        <v>0</v>
      </c>
      <c r="H33" s="6"/>
      <c r="I33" s="88">
        <f>SUM(I28:I32)</f>
        <v>-12068.310841488094</v>
      </c>
      <c r="J33" s="44" t="s">
        <v>431</v>
      </c>
      <c r="K33" s="4">
        <f t="shared" si="3"/>
        <v>22</v>
      </c>
    </row>
    <row r="34" spans="1:11" ht="16.5" thickTop="1" x14ac:dyDescent="0.25">
      <c r="A34" s="4">
        <f t="shared" si="2"/>
        <v>23</v>
      </c>
      <c r="K34" s="4">
        <f t="shared" si="3"/>
        <v>23</v>
      </c>
    </row>
    <row r="35" spans="1:11" ht="19.5" thickBot="1" x14ac:dyDescent="0.3">
      <c r="A35" s="4">
        <f t="shared" si="2"/>
        <v>24</v>
      </c>
      <c r="B35" s="1" t="s">
        <v>432</v>
      </c>
      <c r="C35" s="88">
        <f>+C18+C25+C33</f>
        <v>-935119.41443174647</v>
      </c>
      <c r="E35" s="88">
        <f>+E18+E25+E33</f>
        <v>147581.14848391895</v>
      </c>
      <c r="F35" s="43"/>
      <c r="G35" s="88">
        <f>+G18+G25+G33</f>
        <v>-390344.60938551044</v>
      </c>
      <c r="I35" s="88">
        <f>+I18+I25+I33</f>
        <v>-1177882.875333338</v>
      </c>
      <c r="J35" s="44" t="s">
        <v>433</v>
      </c>
      <c r="K35" s="4">
        <f t="shared" si="3"/>
        <v>24</v>
      </c>
    </row>
    <row r="36" spans="1:11" ht="16.5" thickTop="1" x14ac:dyDescent="0.25">
      <c r="B36" s="1"/>
      <c r="C36" s="43"/>
      <c r="E36" s="43"/>
      <c r="F36" s="43"/>
      <c r="G36" s="43"/>
      <c r="I36" s="43"/>
      <c r="J36" s="44"/>
    </row>
    <row r="38" spans="1:11" ht="18.75" x14ac:dyDescent="0.25">
      <c r="A38" s="252">
        <v>1</v>
      </c>
      <c r="B38" s="31" t="s">
        <v>434</v>
      </c>
    </row>
    <row r="39" spans="1:11" ht="18.75" x14ac:dyDescent="0.25">
      <c r="A39" s="252">
        <v>2</v>
      </c>
      <c r="B39" s="31" t="s">
        <v>437</v>
      </c>
    </row>
    <row r="40" spans="1:11" ht="18.75" x14ac:dyDescent="0.25">
      <c r="A40" s="252">
        <v>3</v>
      </c>
      <c r="B40" s="31" t="s">
        <v>438</v>
      </c>
    </row>
    <row r="41" spans="1:11" ht="19.5" customHeight="1" x14ac:dyDescent="0.25">
      <c r="A41" s="252">
        <v>4</v>
      </c>
      <c r="B41" s="32" t="s">
        <v>2028</v>
      </c>
      <c r="C41" s="879"/>
      <c r="D41" s="879"/>
      <c r="E41" s="879"/>
      <c r="F41" s="879"/>
      <c r="G41" s="879"/>
      <c r="H41" s="879"/>
      <c r="I41" s="879"/>
      <c r="J41" s="879"/>
    </row>
    <row r="42" spans="1:11" x14ac:dyDescent="0.25">
      <c r="B42" s="32" t="s">
        <v>2029</v>
      </c>
    </row>
    <row r="43" spans="1:11" ht="18.75" x14ac:dyDescent="0.25">
      <c r="A43" s="252">
        <v>5</v>
      </c>
      <c r="B43" s="31" t="s">
        <v>1690</v>
      </c>
    </row>
  </sheetData>
  <mergeCells count="5">
    <mergeCell ref="B2:J2"/>
    <mergeCell ref="B3:J3"/>
    <mergeCell ref="B4:J4"/>
    <mergeCell ref="B5:J5"/>
    <mergeCell ref="B6:J6"/>
  </mergeCells>
  <printOptions horizontalCentered="1"/>
  <pageMargins left="0.5" right="0.5" top="0.5" bottom="0.5" header="0.25" footer="0.25"/>
  <pageSetup scale="60" orientation="landscape" r:id="rId1"/>
  <headerFooter scaleWithDoc="0">
    <oddFooter>&amp;C&amp;"Times New Roman,Regular"&amp;10&amp;A</oddFooter>
  </headerFooter>
  <customProperties>
    <customPr name="_pios_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2:I28"/>
  <sheetViews>
    <sheetView zoomScale="80" zoomScaleNormal="80" workbookViewId="0">
      <selection activeCell="G25" sqref="G25"/>
    </sheetView>
  </sheetViews>
  <sheetFormatPr defaultColWidth="8.7109375" defaultRowHeight="15.75" x14ac:dyDescent="0.25"/>
  <cols>
    <col min="1" max="1" width="5.28515625" style="340" customWidth="1"/>
    <col min="2" max="2" width="61" style="5" bestFit="1" customWidth="1"/>
    <col min="3" max="3" width="16.7109375" style="5" customWidth="1"/>
    <col min="4" max="4" width="1.5703125" style="5" customWidth="1"/>
    <col min="5" max="5" width="16.7109375" style="5" customWidth="1"/>
    <col min="6" max="6" width="1.5703125" style="5" customWidth="1"/>
    <col min="7" max="7" width="15.7109375" style="5" customWidth="1"/>
    <col min="8" max="8" width="62.42578125" style="5" customWidth="1"/>
    <col min="9" max="9" width="5.28515625" style="340" customWidth="1"/>
    <col min="10" max="16384" width="8.7109375" style="5"/>
  </cols>
  <sheetData>
    <row r="2" spans="1:9" x14ac:dyDescent="0.25">
      <c r="B2" s="1316" t="s">
        <v>0</v>
      </c>
      <c r="C2" s="1316"/>
      <c r="D2" s="1316"/>
      <c r="E2" s="1316"/>
      <c r="F2" s="1316"/>
      <c r="G2" s="1316"/>
      <c r="H2" s="1316"/>
    </row>
    <row r="3" spans="1:9" x14ac:dyDescent="0.25">
      <c r="B3" s="1316" t="s">
        <v>412</v>
      </c>
      <c r="C3" s="1316"/>
      <c r="D3" s="1316"/>
      <c r="E3" s="1316"/>
      <c r="F3" s="1316"/>
      <c r="G3" s="1316"/>
      <c r="H3" s="1316"/>
    </row>
    <row r="4" spans="1:9" x14ac:dyDescent="0.25">
      <c r="B4" s="1316" t="s">
        <v>439</v>
      </c>
      <c r="C4" s="1316"/>
      <c r="D4" s="1316"/>
      <c r="E4" s="1316"/>
      <c r="F4" s="1316"/>
      <c r="G4" s="1316"/>
      <c r="H4" s="1316"/>
    </row>
    <row r="5" spans="1:9" x14ac:dyDescent="0.25">
      <c r="B5" s="1316" t="str">
        <f>'AF-2'!B5</f>
        <v>BASE PERIOD 12 MONTHS ENDING DECEMBER 31, 2025</v>
      </c>
      <c r="C5" s="1316"/>
      <c r="D5" s="1316"/>
      <c r="E5" s="1316"/>
      <c r="F5" s="1316"/>
      <c r="G5" s="1316"/>
      <c r="H5" s="1316"/>
    </row>
    <row r="6" spans="1:9" ht="15.75" customHeight="1" x14ac:dyDescent="0.25">
      <c r="B6" s="1312" t="s">
        <v>4</v>
      </c>
      <c r="C6" s="1312"/>
      <c r="D6" s="1312"/>
      <c r="E6" s="1312"/>
      <c r="F6" s="1312"/>
      <c r="G6" s="1312"/>
      <c r="H6" s="1312"/>
    </row>
    <row r="8" spans="1:9" x14ac:dyDescent="0.25">
      <c r="A8" s="340" t="s">
        <v>5</v>
      </c>
      <c r="B8" s="31"/>
      <c r="C8" s="261" t="s">
        <v>187</v>
      </c>
      <c r="D8" s="261"/>
      <c r="E8" s="261" t="s">
        <v>188</v>
      </c>
      <c r="F8" s="31"/>
      <c r="G8" s="261" t="s">
        <v>211</v>
      </c>
      <c r="H8" s="261"/>
      <c r="I8" s="340" t="s">
        <v>5</v>
      </c>
    </row>
    <row r="9" spans="1:9" x14ac:dyDescent="0.25">
      <c r="A9" s="340" t="s">
        <v>6</v>
      </c>
      <c r="B9" s="927" t="s">
        <v>311</v>
      </c>
      <c r="C9" s="727">
        <f>'Stmt AD'!E9</f>
        <v>45657</v>
      </c>
      <c r="D9" s="974"/>
      <c r="E9" s="727">
        <f>'Stmt AD'!G9</f>
        <v>46022</v>
      </c>
      <c r="F9" s="975"/>
      <c r="G9" s="927" t="s">
        <v>213</v>
      </c>
      <c r="H9" s="927" t="s">
        <v>8</v>
      </c>
      <c r="I9" s="340" t="s">
        <v>6</v>
      </c>
    </row>
    <row r="10" spans="1:9" x14ac:dyDescent="0.25">
      <c r="B10" s="31"/>
      <c r="C10" s="31"/>
      <c r="D10" s="31"/>
      <c r="E10" s="31"/>
      <c r="F10" s="31"/>
      <c r="G10" s="31"/>
      <c r="H10" s="31"/>
      <c r="I10" s="4"/>
    </row>
    <row r="11" spans="1:9" ht="16.5" thickBot="1" x14ac:dyDescent="0.3">
      <c r="A11" s="340">
        <v>1</v>
      </c>
      <c r="B11" s="31" t="s">
        <v>405</v>
      </c>
      <c r="C11" s="914">
        <v>0</v>
      </c>
      <c r="D11" s="6"/>
      <c r="E11" s="914">
        <v>0</v>
      </c>
      <c r="F11" s="35"/>
      <c r="G11" s="37">
        <f>(C11+E11)/2</f>
        <v>0</v>
      </c>
      <c r="H11" s="44" t="s">
        <v>2027</v>
      </c>
      <c r="I11" s="4">
        <f>A11</f>
        <v>1</v>
      </c>
    </row>
    <row r="12" spans="1:9" ht="16.5" thickTop="1" x14ac:dyDescent="0.25">
      <c r="A12" s="340">
        <f>A11+1</f>
        <v>2</v>
      </c>
      <c r="B12" s="31"/>
      <c r="C12" s="35"/>
      <c r="D12" s="6"/>
      <c r="E12" s="35"/>
      <c r="F12" s="35"/>
      <c r="G12" s="35"/>
      <c r="H12" s="35"/>
      <c r="I12" s="4">
        <f>I11+1</f>
        <v>2</v>
      </c>
    </row>
    <row r="13" spans="1:9" ht="16.5" thickBot="1" x14ac:dyDescent="0.3">
      <c r="A13" s="340">
        <f t="shared" ref="A13:A15" si="0">A12+1</f>
        <v>3</v>
      </c>
      <c r="B13" s="31" t="s">
        <v>407</v>
      </c>
      <c r="C13" s="914">
        <v>0</v>
      </c>
      <c r="D13" s="6"/>
      <c r="E13" s="914">
        <v>0</v>
      </c>
      <c r="F13" s="35"/>
      <c r="G13" s="37">
        <f>(C13+E13)/2</f>
        <v>0</v>
      </c>
      <c r="H13" s="44" t="s">
        <v>2027</v>
      </c>
      <c r="I13" s="4">
        <f t="shared" ref="I13:I15" si="1">I12+1</f>
        <v>3</v>
      </c>
    </row>
    <row r="14" spans="1:9" ht="16.5" thickTop="1" x14ac:dyDescent="0.25">
      <c r="A14" s="340">
        <f t="shared" si="0"/>
        <v>4</v>
      </c>
      <c r="B14" s="31"/>
      <c r="C14" s="35"/>
      <c r="D14" s="6"/>
      <c r="E14" s="35"/>
      <c r="F14" s="35"/>
      <c r="G14" s="35"/>
      <c r="H14" s="44"/>
      <c r="I14" s="4">
        <f t="shared" si="1"/>
        <v>4</v>
      </c>
    </row>
    <row r="15" spans="1:9" ht="16.5" thickBot="1" x14ac:dyDescent="0.3">
      <c r="A15" s="340">
        <f t="shared" si="0"/>
        <v>5</v>
      </c>
      <c r="B15" s="31" t="s">
        <v>409</v>
      </c>
      <c r="C15" s="914">
        <v>0</v>
      </c>
      <c r="D15" s="6"/>
      <c r="E15" s="914">
        <v>0</v>
      </c>
      <c r="F15" s="35"/>
      <c r="G15" s="37">
        <f>(C15+E15)/2</f>
        <v>0</v>
      </c>
      <c r="H15" s="44" t="s">
        <v>2027</v>
      </c>
      <c r="I15" s="4">
        <f t="shared" si="1"/>
        <v>5</v>
      </c>
    </row>
    <row r="16" spans="1:9" ht="16.5" thickTop="1" x14ac:dyDescent="0.25">
      <c r="B16" s="31"/>
      <c r="C16" s="11"/>
      <c r="D16" s="11"/>
      <c r="E16" s="11"/>
      <c r="F16" s="11"/>
      <c r="G16" s="11"/>
      <c r="H16" s="11"/>
      <c r="I16" s="4"/>
    </row>
    <row r="17" spans="2:9" x14ac:dyDescent="0.25">
      <c r="B17" s="31"/>
      <c r="C17" s="6"/>
      <c r="D17" s="6"/>
      <c r="E17" s="6"/>
      <c r="F17" s="6"/>
      <c r="G17" s="6"/>
      <c r="H17" s="6"/>
      <c r="I17" s="4"/>
    </row>
    <row r="18" spans="2:9" x14ac:dyDescent="0.25">
      <c r="B18" s="29"/>
      <c r="C18" s="31"/>
      <c r="D18" s="31"/>
      <c r="E18" s="6"/>
      <c r="F18" s="6"/>
      <c r="G18" s="6"/>
      <c r="H18" s="6"/>
      <c r="I18" s="4"/>
    </row>
    <row r="19" spans="2:9" x14ac:dyDescent="0.25">
      <c r="B19" s="31"/>
      <c r="C19" s="31"/>
      <c r="D19" s="31"/>
      <c r="E19" s="31"/>
      <c r="F19" s="31"/>
      <c r="G19" s="31"/>
      <c r="H19" s="31"/>
      <c r="I19" s="4"/>
    </row>
    <row r="28" spans="2:9" x14ac:dyDescent="0.25">
      <c r="B28" s="342"/>
    </row>
  </sheetData>
  <mergeCells count="5">
    <mergeCell ref="B2:H2"/>
    <mergeCell ref="B3:H3"/>
    <mergeCell ref="B4:H4"/>
    <mergeCell ref="B5:H5"/>
    <mergeCell ref="B6:H6"/>
  </mergeCells>
  <printOptions horizontalCentered="1"/>
  <pageMargins left="0.5" right="0.5" top="0.5" bottom="0.5" header="0.25" footer="0.25"/>
  <pageSetup scale="68" orientation="landscape" r:id="rId1"/>
  <headerFooter scaleWithDoc="0">
    <oddFooter>&amp;C&amp;"Times New Roman,Regular"&amp;10&amp;A</oddFooter>
  </headerFooter>
  <customProperties>
    <customPr name="_pios_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3A51E-469A-4072-9D24-42B2614DEF62}">
  <sheetPr>
    <pageSetUpPr fitToPage="1"/>
  </sheetPr>
  <dimension ref="A2:I24"/>
  <sheetViews>
    <sheetView zoomScale="80" zoomScaleNormal="80" workbookViewId="0">
      <selection activeCell="E16" sqref="E16"/>
    </sheetView>
  </sheetViews>
  <sheetFormatPr defaultColWidth="8.7109375" defaultRowHeight="15.75" x14ac:dyDescent="0.25"/>
  <cols>
    <col min="1" max="1" width="5.28515625" style="4" customWidth="1"/>
    <col min="2" max="2" width="56.28515625" style="31" customWidth="1"/>
    <col min="3" max="3" width="16.7109375" style="31" customWidth="1"/>
    <col min="4" max="4" width="2.7109375" style="31" bestFit="1" customWidth="1"/>
    <col min="5" max="5" width="16.7109375" style="31" customWidth="1"/>
    <col min="6" max="6" width="1.5703125" style="31" customWidth="1"/>
    <col min="7" max="7" width="18.42578125" style="31" customWidth="1"/>
    <col min="8" max="8" width="62.42578125" style="31" customWidth="1"/>
    <col min="9" max="9" width="5.28515625" style="4" customWidth="1"/>
    <col min="10" max="16384" width="8.7109375" style="31"/>
  </cols>
  <sheetData>
    <row r="2" spans="1:9" x14ac:dyDescent="0.25">
      <c r="B2" s="1316" t="s">
        <v>0</v>
      </c>
      <c r="C2" s="1316"/>
      <c r="D2" s="1316"/>
      <c r="E2" s="1316"/>
      <c r="F2" s="1316"/>
      <c r="G2" s="1316"/>
      <c r="H2" s="1316"/>
    </row>
    <row r="3" spans="1:9" x14ac:dyDescent="0.25">
      <c r="B3" s="1316" t="s">
        <v>1622</v>
      </c>
      <c r="C3" s="1316"/>
      <c r="D3" s="1316"/>
      <c r="E3" s="1316"/>
      <c r="F3" s="1316"/>
      <c r="G3" s="1316"/>
      <c r="H3" s="1316"/>
    </row>
    <row r="4" spans="1:9" x14ac:dyDescent="0.25">
      <c r="B4" s="1316" t="s">
        <v>1682</v>
      </c>
      <c r="C4" s="1316"/>
      <c r="D4" s="1316"/>
      <c r="E4" s="1316"/>
      <c r="F4" s="1316"/>
      <c r="G4" s="1316"/>
      <c r="H4" s="1316"/>
    </row>
    <row r="5" spans="1:9" x14ac:dyDescent="0.25">
      <c r="B5" s="1316" t="str">
        <f>'AF-2'!B5</f>
        <v>BASE PERIOD 12 MONTHS ENDING DECEMBER 31, 2025</v>
      </c>
      <c r="C5" s="1316"/>
      <c r="D5" s="1316"/>
      <c r="E5" s="1316"/>
      <c r="F5" s="1316"/>
      <c r="G5" s="1316"/>
      <c r="H5" s="1316"/>
    </row>
    <row r="6" spans="1:9" ht="15.75" customHeight="1" x14ac:dyDescent="0.25">
      <c r="B6" s="1312" t="s">
        <v>4</v>
      </c>
      <c r="C6" s="1312"/>
      <c r="D6" s="1312"/>
      <c r="E6" s="1312"/>
      <c r="F6" s="1312"/>
      <c r="G6" s="1312"/>
      <c r="H6" s="1312"/>
    </row>
    <row r="8" spans="1:9" x14ac:dyDescent="0.25">
      <c r="A8" s="4" t="s">
        <v>5</v>
      </c>
      <c r="C8" s="261" t="s">
        <v>187</v>
      </c>
      <c r="D8" s="261"/>
      <c r="E8" s="261" t="s">
        <v>188</v>
      </c>
      <c r="G8" s="261" t="s">
        <v>211</v>
      </c>
      <c r="H8" s="261"/>
      <c r="I8" s="4" t="s">
        <v>5</v>
      </c>
    </row>
    <row r="9" spans="1:9" x14ac:dyDescent="0.25">
      <c r="A9" s="4" t="s">
        <v>6</v>
      </c>
      <c r="B9" s="927" t="s">
        <v>311</v>
      </c>
      <c r="C9" s="727">
        <f>'Stmt AD'!E9</f>
        <v>45657</v>
      </c>
      <c r="D9" s="974"/>
      <c r="E9" s="727">
        <f>'Stmt AD'!G9</f>
        <v>46022</v>
      </c>
      <c r="F9" s="975"/>
      <c r="G9" s="927" t="s">
        <v>213</v>
      </c>
      <c r="H9" s="927" t="s">
        <v>8</v>
      </c>
      <c r="I9" s="4" t="s">
        <v>6</v>
      </c>
    </row>
    <row r="11" spans="1:9" ht="19.5" thickBot="1" x14ac:dyDescent="0.3">
      <c r="A11" s="4">
        <v>1</v>
      </c>
      <c r="B11" s="32" t="s">
        <v>1623</v>
      </c>
      <c r="C11" s="37">
        <v>-769044.26393620041</v>
      </c>
      <c r="D11" s="6"/>
      <c r="E11" s="37">
        <v>-828950.11808674922</v>
      </c>
      <c r="F11" s="35"/>
      <c r="G11" s="1145">
        <f>(C11+E11)/2</f>
        <v>-798997.19101147482</v>
      </c>
      <c r="H11" s="44" t="s">
        <v>263</v>
      </c>
      <c r="I11" s="4">
        <f t="shared" ref="I11" si="0">A11</f>
        <v>1</v>
      </c>
    </row>
    <row r="12" spans="1:9" ht="16.5" thickTop="1" x14ac:dyDescent="0.25">
      <c r="C12" s="11"/>
      <c r="D12" s="11"/>
      <c r="E12" s="11"/>
      <c r="F12" s="11"/>
      <c r="G12" s="11"/>
      <c r="H12" s="11"/>
    </row>
    <row r="13" spans="1:9" x14ac:dyDescent="0.25">
      <c r="C13" s="11"/>
      <c r="D13" s="11"/>
      <c r="E13" s="11"/>
      <c r="F13" s="11"/>
      <c r="G13" s="11"/>
      <c r="H13" s="11"/>
    </row>
    <row r="14" spans="1:9" x14ac:dyDescent="0.25">
      <c r="C14" s="11"/>
      <c r="D14" s="11"/>
      <c r="E14" s="11"/>
      <c r="F14" s="11"/>
      <c r="G14" s="11"/>
      <c r="H14" s="11"/>
    </row>
    <row r="15" spans="1:9" x14ac:dyDescent="0.25">
      <c r="C15" s="6"/>
      <c r="D15" s="6"/>
      <c r="E15" s="6"/>
      <c r="F15" s="6"/>
      <c r="G15" s="6"/>
      <c r="H15" s="6"/>
    </row>
    <row r="16" spans="1:9" ht="18.75" x14ac:dyDescent="0.25">
      <c r="A16" s="265">
        <v>1</v>
      </c>
      <c r="B16" s="31" t="s">
        <v>1650</v>
      </c>
    </row>
    <row r="17" spans="2:3" x14ac:dyDescent="0.25">
      <c r="B17" s="31" t="s">
        <v>1651</v>
      </c>
    </row>
    <row r="22" spans="2:3" x14ac:dyDescent="0.25">
      <c r="C22" s="1165"/>
    </row>
    <row r="24" spans="2:3" x14ac:dyDescent="0.25">
      <c r="B24" s="623"/>
    </row>
  </sheetData>
  <mergeCells count="5">
    <mergeCell ref="B2:H2"/>
    <mergeCell ref="B3:H3"/>
    <mergeCell ref="B4:H4"/>
    <mergeCell ref="B5:H5"/>
    <mergeCell ref="B6:H6"/>
  </mergeCells>
  <printOptions horizontalCentered="1"/>
  <pageMargins left="0.25" right="0.25" top="0.5" bottom="0.5" header="0.25" footer="0.25"/>
  <pageSetup scale="72" orientation="landscape" r:id="rId1"/>
  <headerFooter scaleWithDoc="0" alignWithMargins="0">
    <oddFooter>&amp;C&amp;A</oddFooter>
  </headerFooter>
  <customProperties>
    <customPr name="_pios_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H18"/>
  <sheetViews>
    <sheetView zoomScale="80" zoomScaleNormal="80" workbookViewId="0">
      <selection activeCell="E35" sqref="E35"/>
    </sheetView>
  </sheetViews>
  <sheetFormatPr defaultColWidth="9.28515625" defaultRowHeight="15.75" x14ac:dyDescent="0.25"/>
  <cols>
    <col min="1" max="1" width="5.28515625" style="4" bestFit="1" customWidth="1"/>
    <col min="2" max="2" width="50.7109375" style="31" customWidth="1"/>
    <col min="3" max="3" width="24" style="31" customWidth="1"/>
    <col min="4" max="4" width="1.5703125" style="31" customWidth="1"/>
    <col min="5" max="5" width="16.7109375" style="31" customWidth="1"/>
    <col min="6" max="6" width="1.5703125" style="31" customWidth="1"/>
    <col min="7" max="7" width="34.5703125" style="31" customWidth="1"/>
    <col min="8" max="8" width="5.28515625" style="31" bestFit="1" customWidth="1"/>
    <col min="9" max="9" width="9.28515625" style="31"/>
    <col min="10" max="10" width="20.42578125" style="31" bestFit="1" customWidth="1"/>
    <col min="11" max="16384" width="9.28515625" style="31"/>
  </cols>
  <sheetData>
    <row r="1" spans="1:8" x14ac:dyDescent="0.25">
      <c r="E1" s="4"/>
      <c r="F1" s="4"/>
      <c r="G1" s="4"/>
      <c r="H1" s="4"/>
    </row>
    <row r="2" spans="1:8" x14ac:dyDescent="0.25">
      <c r="B2" s="1316" t="s">
        <v>0</v>
      </c>
      <c r="C2" s="1316"/>
      <c r="D2" s="1316"/>
      <c r="E2" s="1316"/>
      <c r="F2" s="1316"/>
      <c r="G2" s="1316"/>
      <c r="H2" s="4"/>
    </row>
    <row r="3" spans="1:8" x14ac:dyDescent="0.25">
      <c r="B3" s="1316" t="s">
        <v>440</v>
      </c>
      <c r="C3" s="1316"/>
      <c r="D3" s="1316"/>
      <c r="E3" s="1316"/>
      <c r="F3" s="1316"/>
      <c r="G3" s="1316"/>
      <c r="H3" s="4"/>
    </row>
    <row r="4" spans="1:8" x14ac:dyDescent="0.25">
      <c r="B4" s="1316" t="s">
        <v>441</v>
      </c>
      <c r="C4" s="1316"/>
      <c r="D4" s="1316"/>
      <c r="E4" s="1316"/>
      <c r="F4" s="1316"/>
      <c r="G4" s="1316"/>
      <c r="H4" s="4"/>
    </row>
    <row r="5" spans="1:8" x14ac:dyDescent="0.25">
      <c r="B5" s="1318" t="str">
        <f>'Stmt AD'!B5</f>
        <v>Base Period &amp; True-Up Period 12 - Months Ending December 31, 2025</v>
      </c>
      <c r="C5" s="1318"/>
      <c r="D5" s="1318"/>
      <c r="E5" s="1318"/>
      <c r="F5" s="1318"/>
      <c r="G5" s="1318"/>
      <c r="H5" s="4"/>
    </row>
    <row r="6" spans="1:8" x14ac:dyDescent="0.25">
      <c r="B6" s="1312" t="s">
        <v>4</v>
      </c>
      <c r="C6" s="1313"/>
      <c r="D6" s="1313"/>
      <c r="E6" s="1313"/>
      <c r="F6" s="1313"/>
      <c r="G6" s="1313"/>
      <c r="H6" s="4"/>
    </row>
    <row r="7" spans="1:8" x14ac:dyDescent="0.25">
      <c r="B7" s="4"/>
      <c r="C7" s="4"/>
      <c r="D7" s="4"/>
      <c r="E7" s="4"/>
      <c r="F7" s="4"/>
      <c r="G7" s="4"/>
      <c r="H7" s="4"/>
    </row>
    <row r="8" spans="1:8" x14ac:dyDescent="0.25">
      <c r="A8" s="4" t="s">
        <v>5</v>
      </c>
      <c r="B8" s="217"/>
      <c r="C8" s="4" t="s">
        <v>210</v>
      </c>
      <c r="D8" s="217"/>
      <c r="E8" s="343"/>
      <c r="F8" s="4"/>
      <c r="G8" s="4"/>
      <c r="H8" s="4" t="s">
        <v>5</v>
      </c>
    </row>
    <row r="9" spans="1:8" x14ac:dyDescent="0.25">
      <c r="A9" s="4" t="s">
        <v>6</v>
      </c>
      <c r="C9" s="848" t="s">
        <v>212</v>
      </c>
      <c r="E9" s="849" t="s">
        <v>213</v>
      </c>
      <c r="F9" s="217"/>
      <c r="G9" s="848" t="s">
        <v>8</v>
      </c>
      <c r="H9" s="4" t="s">
        <v>6</v>
      </c>
    </row>
    <row r="10" spans="1:8" x14ac:dyDescent="0.25">
      <c r="E10" s="4"/>
      <c r="F10" s="4"/>
      <c r="G10" s="4"/>
      <c r="H10" s="4"/>
    </row>
    <row r="11" spans="1:8" ht="19.5" thickBot="1" x14ac:dyDescent="0.3">
      <c r="A11" s="4">
        <f>A10+1</f>
        <v>1</v>
      </c>
      <c r="B11" s="32" t="s">
        <v>442</v>
      </c>
      <c r="C11" s="4">
        <v>214</v>
      </c>
      <c r="E11" s="91">
        <f>'AG-1'!C31</f>
        <v>2549.5695384615387</v>
      </c>
      <c r="F11" s="71"/>
      <c r="G11" s="4" t="s">
        <v>443</v>
      </c>
      <c r="H11" s="4">
        <f>A11</f>
        <v>1</v>
      </c>
    </row>
    <row r="12" spans="1:8" ht="16.5" thickTop="1" x14ac:dyDescent="0.25">
      <c r="E12" s="35"/>
      <c r="H12" s="4"/>
    </row>
    <row r="13" spans="1:8" x14ac:dyDescent="0.25">
      <c r="H13" s="4"/>
    </row>
    <row r="14" spans="1:8" ht="18.75" x14ac:dyDescent="0.25">
      <c r="A14" s="252" t="s">
        <v>444</v>
      </c>
      <c r="B14" s="31" t="s">
        <v>445</v>
      </c>
      <c r="H14" s="4"/>
    </row>
    <row r="15" spans="1:8" x14ac:dyDescent="0.25">
      <c r="H15" s="4"/>
    </row>
    <row r="18" spans="1:2" x14ac:dyDescent="0.25">
      <c r="A18" s="71"/>
      <c r="B18" s="1"/>
    </row>
  </sheetData>
  <mergeCells count="5">
    <mergeCell ref="B2:G2"/>
    <mergeCell ref="B3:G3"/>
    <mergeCell ref="B4:G4"/>
    <mergeCell ref="B5:G5"/>
    <mergeCell ref="B6:G6"/>
  </mergeCells>
  <printOptions horizontalCentered="1"/>
  <pageMargins left="0.5" right="0.5" top="0.5" bottom="0.5" header="0.25" footer="0.25"/>
  <pageSetup scale="68" orientation="portrait" r:id="rId1"/>
  <headerFooter scaleWithDoc="0">
    <oddFooter>&amp;C&amp;"Times New Roman,Regular"&amp;10&amp;A</oddFooter>
  </headerFooter>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8"/>
  <sheetViews>
    <sheetView zoomScale="80" zoomScaleNormal="80" workbookViewId="0">
      <selection activeCell="P28" sqref="P28"/>
    </sheetView>
  </sheetViews>
  <sheetFormatPr defaultColWidth="8.7109375" defaultRowHeight="15.75" x14ac:dyDescent="0.25"/>
  <cols>
    <col min="1" max="1" width="5.28515625" style="4" bestFit="1" customWidth="1"/>
    <col min="2" max="2" width="55.7109375" style="31" customWidth="1"/>
    <col min="3" max="3" width="40.28515625" style="4" bestFit="1" customWidth="1"/>
    <col min="4" max="4" width="1.5703125" style="31" customWidth="1"/>
    <col min="5" max="5" width="16.7109375" style="31" customWidth="1"/>
    <col min="6" max="6" width="1.5703125" style="31" customWidth="1"/>
    <col min="7" max="7" width="16.7109375" style="31" customWidth="1"/>
    <col min="8" max="8" width="1.5703125" style="31" customWidth="1"/>
    <col min="9" max="9" width="16.7109375" style="31" customWidth="1"/>
    <col min="10" max="10" width="1.5703125" style="31" customWidth="1"/>
    <col min="11" max="11" width="34.5703125" style="31" customWidth="1"/>
    <col min="12" max="12" width="5.28515625" style="4" bestFit="1" customWidth="1"/>
    <col min="13" max="13" width="8.7109375" style="31"/>
    <col min="14" max="14" width="38.28515625" style="31" customWidth="1"/>
    <col min="15" max="16384" width="8.7109375" style="31"/>
  </cols>
  <sheetData>
    <row r="1" spans="1:14" x14ac:dyDescent="0.25">
      <c r="A1" s="4" t="s">
        <v>1</v>
      </c>
    </row>
    <row r="2" spans="1:14" x14ac:dyDescent="0.25">
      <c r="A2" s="31"/>
      <c r="B2" s="1316" t="s">
        <v>0</v>
      </c>
      <c r="C2" s="1316"/>
      <c r="D2" s="1316"/>
      <c r="E2" s="1316"/>
      <c r="F2" s="1316"/>
      <c r="G2" s="1316"/>
      <c r="H2" s="1316"/>
      <c r="I2" s="1316"/>
      <c r="J2" s="1316"/>
      <c r="K2" s="1316"/>
      <c r="N2" s="255"/>
    </row>
    <row r="3" spans="1:14" x14ac:dyDescent="0.25">
      <c r="A3" s="31"/>
      <c r="B3" s="1316" t="s">
        <v>208</v>
      </c>
      <c r="C3" s="1316"/>
      <c r="D3" s="1316"/>
      <c r="E3" s="1316"/>
      <c r="F3" s="1316"/>
      <c r="G3" s="1316"/>
      <c r="H3" s="1316"/>
      <c r="I3" s="1316"/>
      <c r="J3" s="1316"/>
      <c r="K3" s="1316"/>
      <c r="N3" s="255"/>
    </row>
    <row r="4" spans="1:14" x14ac:dyDescent="0.25">
      <c r="A4" s="31"/>
      <c r="B4" s="1316" t="s">
        <v>209</v>
      </c>
      <c r="C4" s="1316"/>
      <c r="D4" s="1316"/>
      <c r="E4" s="1316"/>
      <c r="F4" s="1316"/>
      <c r="G4" s="1316"/>
      <c r="H4" s="1313"/>
      <c r="I4" s="1313"/>
      <c r="J4" s="1313"/>
      <c r="K4" s="1313"/>
    </row>
    <row r="5" spans="1:14" x14ac:dyDescent="0.25">
      <c r="B5" s="1314" t="s">
        <v>2037</v>
      </c>
      <c r="C5" s="1314"/>
      <c r="D5" s="1314"/>
      <c r="E5" s="1314"/>
      <c r="F5" s="1314"/>
      <c r="G5" s="1314"/>
      <c r="H5" s="1315"/>
      <c r="I5" s="1315"/>
      <c r="J5" s="1315"/>
      <c r="K5" s="1315"/>
      <c r="N5" s="1"/>
    </row>
    <row r="6" spans="1:14" x14ac:dyDescent="0.25">
      <c r="B6" s="1312" t="s">
        <v>4</v>
      </c>
      <c r="C6" s="1313"/>
      <c r="D6" s="1313"/>
      <c r="E6" s="1313"/>
      <c r="F6" s="1313"/>
      <c r="G6" s="1313"/>
      <c r="H6" s="1313"/>
      <c r="I6" s="1313"/>
      <c r="J6" s="1313"/>
      <c r="K6" s="1313"/>
      <c r="N6" s="255"/>
    </row>
    <row r="7" spans="1:14" x14ac:dyDescent="0.25">
      <c r="B7" s="261"/>
      <c r="C7" s="217"/>
      <c r="D7" s="1"/>
      <c r="E7" s="1"/>
      <c r="F7" s="1"/>
      <c r="G7" s="1"/>
      <c r="H7" s="1"/>
      <c r="I7" s="1"/>
      <c r="J7" s="1"/>
      <c r="K7" s="1"/>
      <c r="N7" s="255"/>
    </row>
    <row r="8" spans="1:14" x14ac:dyDescent="0.25">
      <c r="A8" s="4" t="s">
        <v>5</v>
      </c>
      <c r="B8" s="217"/>
      <c r="C8" s="4" t="s">
        <v>210</v>
      </c>
      <c r="D8" s="217"/>
      <c r="E8" s="34" t="s">
        <v>187</v>
      </c>
      <c r="F8" s="4"/>
      <c r="G8" s="34" t="s">
        <v>188</v>
      </c>
      <c r="H8" s="4"/>
      <c r="I8" s="34" t="s">
        <v>211</v>
      </c>
      <c r="J8" s="217"/>
      <c r="L8" s="4" t="s">
        <v>5</v>
      </c>
    </row>
    <row r="9" spans="1:14" x14ac:dyDescent="0.25">
      <c r="A9" s="4" t="s">
        <v>6</v>
      </c>
      <c r="B9" s="217"/>
      <c r="C9" s="848" t="s">
        <v>212</v>
      </c>
      <c r="D9" s="217"/>
      <c r="E9" s="920">
        <v>45657</v>
      </c>
      <c r="F9" s="217"/>
      <c r="G9" s="921">
        <v>46022</v>
      </c>
      <c r="H9" s="217"/>
      <c r="I9" s="849" t="s">
        <v>213</v>
      </c>
      <c r="J9" s="217"/>
      <c r="K9" s="848" t="s">
        <v>8</v>
      </c>
      <c r="L9" s="4" t="s">
        <v>6</v>
      </c>
    </row>
    <row r="10" spans="1:14" x14ac:dyDescent="0.25">
      <c r="E10" s="262"/>
      <c r="G10" s="262"/>
      <c r="H10" s="262"/>
      <c r="I10" s="262"/>
      <c r="J10" s="262"/>
      <c r="K10" s="262"/>
    </row>
    <row r="11" spans="1:14" ht="18.75" x14ac:dyDescent="0.25">
      <c r="A11" s="4">
        <v>1</v>
      </c>
      <c r="B11" s="31" t="s">
        <v>214</v>
      </c>
      <c r="C11" s="4" t="s">
        <v>215</v>
      </c>
      <c r="E11" s="38"/>
      <c r="G11" s="38"/>
      <c r="H11" s="39"/>
      <c r="I11" s="1286">
        <f>'AD-1'!F31</f>
        <v>605411.75423846149</v>
      </c>
      <c r="J11" s="1086" t="s">
        <v>2062</v>
      </c>
      <c r="K11" s="4" t="s">
        <v>216</v>
      </c>
      <c r="L11" s="4">
        <f>A11</f>
        <v>1</v>
      </c>
    </row>
    <row r="12" spans="1:14" x14ac:dyDescent="0.25">
      <c r="A12" s="4">
        <f t="shared" ref="A12:A45" si="0">+A11+1</f>
        <v>2</v>
      </c>
      <c r="B12" s="31" t="s">
        <v>1</v>
      </c>
      <c r="E12" s="38"/>
      <c r="G12" s="38"/>
      <c r="H12" s="41"/>
      <c r="I12" s="38"/>
      <c r="J12" s="41"/>
      <c r="K12" s="4"/>
      <c r="L12" s="4">
        <f t="shared" ref="L12:L45" si="1">+L11+1</f>
        <v>2</v>
      </c>
      <c r="N12" s="807"/>
    </row>
    <row r="13" spans="1:14" ht="18.75" x14ac:dyDescent="0.25">
      <c r="A13" s="4">
        <f t="shared" si="0"/>
        <v>3</v>
      </c>
      <c r="B13" s="31" t="s">
        <v>217</v>
      </c>
      <c r="C13" s="4" t="s">
        <v>215</v>
      </c>
      <c r="E13" s="38"/>
      <c r="G13" s="38"/>
      <c r="H13" s="39"/>
      <c r="I13" s="42">
        <f>'AD-2'!E31</f>
        <v>0</v>
      </c>
      <c r="J13" s="71"/>
      <c r="K13" s="4" t="s">
        <v>218</v>
      </c>
      <c r="L13" s="4">
        <f t="shared" si="1"/>
        <v>3</v>
      </c>
    </row>
    <row r="14" spans="1:14" x14ac:dyDescent="0.25">
      <c r="A14" s="4">
        <f t="shared" si="0"/>
        <v>4</v>
      </c>
      <c r="E14" s="38"/>
      <c r="F14" s="1"/>
      <c r="G14" s="38"/>
      <c r="H14" s="41"/>
      <c r="I14" s="38"/>
      <c r="J14" s="41"/>
      <c r="K14" s="4"/>
      <c r="L14" s="4">
        <f t="shared" si="1"/>
        <v>4</v>
      </c>
    </row>
    <row r="15" spans="1:14" ht="18.75" x14ac:dyDescent="0.25">
      <c r="A15" s="4">
        <f t="shared" si="0"/>
        <v>5</v>
      </c>
      <c r="B15" s="31" t="s">
        <v>219</v>
      </c>
      <c r="E15" s="38"/>
      <c r="F15" s="1"/>
      <c r="G15" s="38"/>
      <c r="H15" s="39"/>
      <c r="I15" s="42">
        <f>'AD-3'!E31</f>
        <v>0</v>
      </c>
      <c r="J15" s="41"/>
      <c r="K15" s="4" t="s">
        <v>220</v>
      </c>
      <c r="L15" s="4">
        <f t="shared" si="1"/>
        <v>5</v>
      </c>
    </row>
    <row r="16" spans="1:14" x14ac:dyDescent="0.25">
      <c r="A16" s="4">
        <f t="shared" si="0"/>
        <v>6</v>
      </c>
      <c r="E16" s="38"/>
      <c r="F16" s="1"/>
      <c r="G16" s="38"/>
      <c r="H16" s="41"/>
      <c r="I16" s="38"/>
      <c r="J16" s="41"/>
      <c r="K16" s="4"/>
      <c r="L16" s="4">
        <f t="shared" si="1"/>
        <v>6</v>
      </c>
    </row>
    <row r="17" spans="1:14" ht="18.75" x14ac:dyDescent="0.25">
      <c r="A17" s="4">
        <f t="shared" si="0"/>
        <v>7</v>
      </c>
      <c r="B17" s="31" t="s">
        <v>2091</v>
      </c>
      <c r="C17" s="4" t="s">
        <v>215</v>
      </c>
      <c r="E17" s="38"/>
      <c r="F17" s="1"/>
      <c r="G17" s="38"/>
      <c r="H17" s="39"/>
      <c r="I17" s="42">
        <f>'AD-4'!F31</f>
        <v>619847.75273230788</v>
      </c>
      <c r="J17" s="71"/>
      <c r="K17" s="4" t="s">
        <v>222</v>
      </c>
      <c r="L17" s="4">
        <f t="shared" si="1"/>
        <v>7</v>
      </c>
      <c r="N17" s="871"/>
    </row>
    <row r="18" spans="1:14" x14ac:dyDescent="0.25">
      <c r="A18" s="4">
        <f t="shared" si="0"/>
        <v>8</v>
      </c>
      <c r="E18" s="38"/>
      <c r="F18" s="1"/>
      <c r="G18" s="38"/>
      <c r="H18" s="41"/>
      <c r="I18" s="38"/>
      <c r="J18" s="41"/>
      <c r="K18" s="4"/>
      <c r="L18" s="4">
        <f t="shared" si="1"/>
        <v>8</v>
      </c>
      <c r="N18" s="871"/>
    </row>
    <row r="19" spans="1:14" ht="18.75" x14ac:dyDescent="0.25">
      <c r="A19" s="4">
        <f>+A18+1</f>
        <v>9</v>
      </c>
      <c r="B19" s="31" t="s">
        <v>2092</v>
      </c>
      <c r="C19" s="4" t="s">
        <v>224</v>
      </c>
      <c r="E19" s="1286">
        <f>'AD-5'!F15</f>
        <v>13028441.029023826</v>
      </c>
      <c r="F19" s="1086" t="s">
        <v>2062</v>
      </c>
      <c r="G19" s="40">
        <f>'AD-5'!F17</f>
        <v>13259817.22608323</v>
      </c>
      <c r="H19" s="39"/>
      <c r="I19" s="38">
        <f>(E19+G19)/2</f>
        <v>13144129.127553528</v>
      </c>
      <c r="J19" s="41"/>
      <c r="K19" s="4" t="s">
        <v>225</v>
      </c>
      <c r="L19" s="4">
        <f>+L18+1</f>
        <v>9</v>
      </c>
      <c r="N19" s="871"/>
    </row>
    <row r="20" spans="1:14" x14ac:dyDescent="0.25">
      <c r="A20" s="4">
        <f t="shared" si="0"/>
        <v>10</v>
      </c>
      <c r="E20" s="38"/>
      <c r="G20" s="38"/>
      <c r="H20" s="41"/>
      <c r="I20" s="38"/>
      <c r="J20" s="41"/>
      <c r="K20" s="4"/>
      <c r="L20" s="4">
        <f t="shared" si="1"/>
        <v>10</v>
      </c>
      <c r="N20" s="871"/>
    </row>
    <row r="21" spans="1:14" ht="18.75" x14ac:dyDescent="0.25">
      <c r="A21" s="4">
        <f t="shared" si="0"/>
        <v>11</v>
      </c>
      <c r="B21" s="31" t="s">
        <v>226</v>
      </c>
      <c r="C21" s="4" t="s">
        <v>215</v>
      </c>
      <c r="E21" s="39"/>
      <c r="G21" s="39"/>
      <c r="H21" s="39"/>
      <c r="I21" s="1288">
        <f>'AD-6'!F31</f>
        <v>8948474.2530016713</v>
      </c>
      <c r="J21" s="1086" t="s">
        <v>2062</v>
      </c>
      <c r="K21" s="4" t="s">
        <v>227</v>
      </c>
      <c r="L21" s="4">
        <f t="shared" si="1"/>
        <v>11</v>
      </c>
      <c r="N21" s="871"/>
    </row>
    <row r="22" spans="1:14" x14ac:dyDescent="0.25">
      <c r="A22" s="4">
        <f t="shared" si="0"/>
        <v>12</v>
      </c>
      <c r="E22" s="38"/>
      <c r="G22" s="38"/>
      <c r="H22" s="41"/>
      <c r="I22" s="38"/>
      <c r="J22" s="41"/>
      <c r="K22" s="4"/>
      <c r="L22" s="4">
        <f t="shared" si="1"/>
        <v>12</v>
      </c>
      <c r="N22" s="871"/>
    </row>
    <row r="23" spans="1:14" ht="18.75" x14ac:dyDescent="0.25">
      <c r="A23" s="4">
        <f t="shared" si="0"/>
        <v>13</v>
      </c>
      <c r="B23" s="31" t="s">
        <v>228</v>
      </c>
      <c r="E23" s="39"/>
      <c r="G23" s="39"/>
      <c r="H23" s="39"/>
      <c r="I23" s="42">
        <f>'AD-7'!E32</f>
        <v>0</v>
      </c>
      <c r="J23" s="41"/>
      <c r="K23" s="4" t="s">
        <v>229</v>
      </c>
      <c r="L23" s="4">
        <f t="shared" si="1"/>
        <v>13</v>
      </c>
      <c r="N23" s="871"/>
    </row>
    <row r="24" spans="1:14" x14ac:dyDescent="0.25">
      <c r="A24" s="4">
        <f t="shared" si="0"/>
        <v>14</v>
      </c>
      <c r="E24" s="38"/>
      <c r="G24" s="38"/>
      <c r="H24" s="41"/>
      <c r="I24" s="38"/>
      <c r="J24" s="41"/>
      <c r="K24" s="4"/>
      <c r="L24" s="4">
        <f t="shared" si="1"/>
        <v>14</v>
      </c>
      <c r="N24" s="871"/>
    </row>
    <row r="25" spans="1:14" ht="18.75" x14ac:dyDescent="0.25">
      <c r="A25" s="4">
        <f>+A24+1</f>
        <v>15</v>
      </c>
      <c r="B25" s="31" t="s">
        <v>2088</v>
      </c>
      <c r="C25" s="4" t="s">
        <v>224</v>
      </c>
      <c r="D25" s="254"/>
      <c r="E25" s="1288">
        <f>'AD-8'!C14</f>
        <v>0</v>
      </c>
      <c r="F25" s="1086" t="s">
        <v>2062</v>
      </c>
      <c r="G25" s="42">
        <f>'AD-8'!C16</f>
        <v>0</v>
      </c>
      <c r="H25" s="41"/>
      <c r="I25" s="38">
        <f>(E25+G25)/2</f>
        <v>0</v>
      </c>
      <c r="J25" s="263"/>
      <c r="K25" s="90" t="s">
        <v>231</v>
      </c>
      <c r="L25" s="4">
        <f>+L24+1</f>
        <v>15</v>
      </c>
    </row>
    <row r="26" spans="1:14" x14ac:dyDescent="0.25">
      <c r="A26" s="4">
        <f t="shared" si="0"/>
        <v>16</v>
      </c>
      <c r="E26" s="38"/>
      <c r="G26" s="38"/>
      <c r="H26" s="41"/>
      <c r="I26" s="38"/>
      <c r="J26" s="41"/>
      <c r="K26" s="4"/>
      <c r="L26" s="4">
        <f t="shared" si="1"/>
        <v>16</v>
      </c>
    </row>
    <row r="27" spans="1:14" ht="18.75" x14ac:dyDescent="0.25">
      <c r="A27" s="4">
        <f t="shared" si="0"/>
        <v>17</v>
      </c>
      <c r="B27" s="31" t="s">
        <v>2089</v>
      </c>
      <c r="C27" s="4" t="s">
        <v>224</v>
      </c>
      <c r="E27" s="1288">
        <f>'AD-9'!C14</f>
        <v>289481.7892100013</v>
      </c>
      <c r="F27" s="1086" t="s">
        <v>2062</v>
      </c>
      <c r="G27" s="42">
        <f>'AD-9'!C16</f>
        <v>325936.31200000027</v>
      </c>
      <c r="H27" s="39"/>
      <c r="I27" s="38">
        <f>(E27+G27)/2</f>
        <v>307709.05060500081</v>
      </c>
      <c r="J27" s="41"/>
      <c r="K27" s="4" t="s">
        <v>233</v>
      </c>
      <c r="L27" s="4">
        <f t="shared" si="1"/>
        <v>17</v>
      </c>
    </row>
    <row r="28" spans="1:14" x14ac:dyDescent="0.25">
      <c r="A28" s="4">
        <f t="shared" si="0"/>
        <v>18</v>
      </c>
      <c r="E28" s="38"/>
      <c r="F28" s="1"/>
      <c r="G28" s="38"/>
      <c r="H28" s="41"/>
      <c r="I28" s="38"/>
      <c r="J28" s="41"/>
      <c r="K28" s="4"/>
      <c r="L28" s="4">
        <f t="shared" si="1"/>
        <v>18</v>
      </c>
    </row>
    <row r="29" spans="1:14" ht="18.75" x14ac:dyDescent="0.25">
      <c r="A29" s="4">
        <f t="shared" si="0"/>
        <v>19</v>
      </c>
      <c r="B29" s="31" t="s">
        <v>2090</v>
      </c>
      <c r="E29" s="42">
        <f>'AD-10'!D15</f>
        <v>1958808.0183976002</v>
      </c>
      <c r="F29" s="1"/>
      <c r="G29" s="42">
        <f>'AD-10'!D19</f>
        <v>1983122.6673092998</v>
      </c>
      <c r="H29" s="39"/>
      <c r="I29" s="922">
        <f>(E29+G29)/2</f>
        <v>1970965.34285345</v>
      </c>
      <c r="J29" s="41"/>
      <c r="K29" s="4" t="s">
        <v>235</v>
      </c>
      <c r="L29" s="4">
        <f t="shared" si="1"/>
        <v>19</v>
      </c>
    </row>
    <row r="30" spans="1:14" x14ac:dyDescent="0.25">
      <c r="A30" s="4">
        <f t="shared" si="0"/>
        <v>20</v>
      </c>
      <c r="E30" s="38"/>
      <c r="F30" s="1"/>
      <c r="G30" s="38"/>
      <c r="H30" s="41"/>
      <c r="I30" s="38"/>
      <c r="J30" s="41"/>
      <c r="K30" s="4"/>
      <c r="L30" s="4">
        <f t="shared" si="1"/>
        <v>20</v>
      </c>
    </row>
    <row r="31" spans="1:14" ht="16.5" thickBot="1" x14ac:dyDescent="0.3">
      <c r="A31" s="4">
        <f t="shared" si="0"/>
        <v>21</v>
      </c>
      <c r="B31" s="31" t="s">
        <v>236</v>
      </c>
      <c r="E31" s="35"/>
      <c r="F31" s="43"/>
      <c r="G31" s="35"/>
      <c r="H31" s="44"/>
      <c r="I31" s="37">
        <f>I11+I13+I15+I17+I19+I21+I23+I25+I27+I29</f>
        <v>25596537.280984417</v>
      </c>
      <c r="J31" s="71"/>
      <c r="K31" s="4" t="s">
        <v>237</v>
      </c>
      <c r="L31" s="4">
        <f t="shared" si="1"/>
        <v>21</v>
      </c>
      <c r="M31" s="264"/>
    </row>
    <row r="32" spans="1:14" ht="16.5" thickTop="1" x14ac:dyDescent="0.25">
      <c r="A32" s="4">
        <f t="shared" si="0"/>
        <v>22</v>
      </c>
      <c r="E32" s="45"/>
      <c r="G32" s="45"/>
      <c r="H32" s="46"/>
      <c r="I32" s="45"/>
      <c r="J32" s="46"/>
      <c r="K32" s="4" t="s">
        <v>1</v>
      </c>
      <c r="L32" s="4">
        <f t="shared" si="1"/>
        <v>22</v>
      </c>
    </row>
    <row r="33" spans="1:13" x14ac:dyDescent="0.25">
      <c r="A33" s="4">
        <f t="shared" si="0"/>
        <v>23</v>
      </c>
      <c r="B33" s="31" t="s">
        <v>238</v>
      </c>
      <c r="E33" s="47"/>
      <c r="G33" s="47"/>
      <c r="H33" s="46"/>
      <c r="I33" s="923">
        <f>'Stmt AI'!E25</f>
        <v>0.20710488637345756</v>
      </c>
      <c r="J33" s="46"/>
      <c r="K33" s="4" t="s">
        <v>239</v>
      </c>
      <c r="L33" s="4">
        <f t="shared" si="1"/>
        <v>23</v>
      </c>
    </row>
    <row r="34" spans="1:13" x14ac:dyDescent="0.25">
      <c r="A34" s="4">
        <f t="shared" si="0"/>
        <v>24</v>
      </c>
      <c r="E34" s="45"/>
      <c r="G34" s="45"/>
      <c r="H34" s="46"/>
      <c r="I34" s="45"/>
      <c r="J34" s="46"/>
      <c r="K34" s="4"/>
      <c r="L34" s="4">
        <f t="shared" si="1"/>
        <v>24</v>
      </c>
    </row>
    <row r="35" spans="1:13" x14ac:dyDescent="0.25">
      <c r="A35" s="4">
        <f t="shared" si="0"/>
        <v>25</v>
      </c>
      <c r="B35" s="31" t="s">
        <v>240</v>
      </c>
      <c r="E35" s="6"/>
      <c r="F35" s="6"/>
      <c r="G35" s="6"/>
      <c r="H35" s="11"/>
      <c r="I35" s="48">
        <f>I21+I23</f>
        <v>8948474.2530016713</v>
      </c>
      <c r="J35" s="71"/>
      <c r="K35" s="4" t="s">
        <v>241</v>
      </c>
      <c r="L35" s="4">
        <f t="shared" si="1"/>
        <v>25</v>
      </c>
    </row>
    <row r="36" spans="1:13" x14ac:dyDescent="0.25">
      <c r="A36" s="4">
        <f t="shared" si="0"/>
        <v>26</v>
      </c>
      <c r="E36" s="45"/>
      <c r="G36" s="45"/>
      <c r="H36" s="46"/>
      <c r="I36" s="45"/>
      <c r="J36" s="46"/>
      <c r="K36" s="4"/>
      <c r="L36" s="4">
        <f t="shared" si="1"/>
        <v>26</v>
      </c>
    </row>
    <row r="37" spans="1:13" x14ac:dyDescent="0.25">
      <c r="A37" s="4">
        <f t="shared" si="0"/>
        <v>27</v>
      </c>
      <c r="B37" s="31" t="s">
        <v>58</v>
      </c>
      <c r="E37" s="6"/>
      <c r="G37" s="6"/>
      <c r="H37" s="46"/>
      <c r="I37" s="8">
        <f>I25*I33</f>
        <v>0</v>
      </c>
      <c r="J37" s="71"/>
      <c r="K37" s="4" t="s">
        <v>242</v>
      </c>
      <c r="L37" s="4">
        <f t="shared" si="1"/>
        <v>27</v>
      </c>
      <c r="M37" s="264"/>
    </row>
    <row r="38" spans="1:13" x14ac:dyDescent="0.25">
      <c r="A38" s="4">
        <f t="shared" si="0"/>
        <v>28</v>
      </c>
      <c r="E38" s="45"/>
      <c r="G38" s="45"/>
      <c r="H38" s="46"/>
      <c r="I38" s="49"/>
      <c r="J38" s="46"/>
      <c r="K38" s="4"/>
      <c r="L38" s="4">
        <f t="shared" si="1"/>
        <v>28</v>
      </c>
    </row>
    <row r="39" spans="1:13" x14ac:dyDescent="0.25">
      <c r="A39" s="4">
        <f t="shared" si="0"/>
        <v>29</v>
      </c>
      <c r="B39" s="31" t="s">
        <v>60</v>
      </c>
      <c r="E39" s="6"/>
      <c r="G39" s="6"/>
      <c r="H39" s="46"/>
      <c r="I39" s="8">
        <f>I27*I33</f>
        <v>63728.047961633194</v>
      </c>
      <c r="J39" s="46"/>
      <c r="K39" s="4" t="s">
        <v>243</v>
      </c>
      <c r="L39" s="4">
        <f t="shared" si="1"/>
        <v>29</v>
      </c>
      <c r="M39" s="264"/>
    </row>
    <row r="40" spans="1:13" x14ac:dyDescent="0.25">
      <c r="A40" s="4">
        <f t="shared" si="0"/>
        <v>30</v>
      </c>
      <c r="E40" s="6"/>
      <c r="G40" s="6"/>
      <c r="H40" s="46"/>
      <c r="I40" s="8"/>
      <c r="J40" s="46"/>
      <c r="K40" s="4"/>
      <c r="L40" s="4">
        <f t="shared" si="1"/>
        <v>30</v>
      </c>
      <c r="M40" s="264"/>
    </row>
    <row r="41" spans="1:13" x14ac:dyDescent="0.25">
      <c r="A41" s="4">
        <f t="shared" si="0"/>
        <v>31</v>
      </c>
      <c r="B41" s="31" t="s">
        <v>244</v>
      </c>
      <c r="E41" s="6"/>
      <c r="G41" s="6"/>
      <c r="H41" s="46"/>
      <c r="I41" s="911">
        <f>I29*I33</f>
        <v>408196.55337768659</v>
      </c>
      <c r="J41" s="46"/>
      <c r="K41" s="4" t="s">
        <v>245</v>
      </c>
      <c r="L41" s="4">
        <f t="shared" si="1"/>
        <v>31</v>
      </c>
      <c r="M41" s="264"/>
    </row>
    <row r="42" spans="1:13" x14ac:dyDescent="0.25">
      <c r="A42" s="4">
        <f t="shared" si="0"/>
        <v>32</v>
      </c>
      <c r="B42" s="31" t="s">
        <v>1</v>
      </c>
      <c r="E42" s="6"/>
      <c r="G42" s="6"/>
      <c r="H42" s="46"/>
      <c r="I42" s="8"/>
      <c r="J42" s="46"/>
      <c r="K42" s="4"/>
      <c r="L42" s="4">
        <f t="shared" si="1"/>
        <v>32</v>
      </c>
    </row>
    <row r="43" spans="1:13" ht="16.5" thickBot="1" x14ac:dyDescent="0.3">
      <c r="A43" s="4">
        <f t="shared" si="0"/>
        <v>33</v>
      </c>
      <c r="B43" s="31" t="s">
        <v>246</v>
      </c>
      <c r="E43" s="6"/>
      <c r="G43" s="6"/>
      <c r="H43" s="50"/>
      <c r="I43" s="24">
        <f>I35+I37+I39+I41</f>
        <v>9420398.854340991</v>
      </c>
      <c r="J43" s="71"/>
      <c r="K43" s="4" t="s">
        <v>247</v>
      </c>
      <c r="L43" s="4">
        <f t="shared" si="1"/>
        <v>33</v>
      </c>
      <c r="M43" s="264"/>
    </row>
    <row r="44" spans="1:13" ht="16.5" thickTop="1" x14ac:dyDescent="0.25">
      <c r="A44" s="4">
        <f t="shared" si="0"/>
        <v>34</v>
      </c>
      <c r="E44" s="45"/>
      <c r="G44" s="45"/>
      <c r="H44" s="50"/>
      <c r="I44" s="49"/>
      <c r="J44" s="50"/>
      <c r="K44" s="4"/>
      <c r="L44" s="4">
        <f t="shared" si="1"/>
        <v>34</v>
      </c>
    </row>
    <row r="45" spans="1:13" ht="19.5" thickBot="1" x14ac:dyDescent="0.3">
      <c r="A45" s="4">
        <f t="shared" si="0"/>
        <v>35</v>
      </c>
      <c r="B45" s="31" t="s">
        <v>2087</v>
      </c>
      <c r="E45" s="47"/>
      <c r="G45" s="47"/>
      <c r="H45" s="50"/>
      <c r="I45" s="51">
        <f>IFERROR(I43/I31,0)</f>
        <v>0.36803411144754233</v>
      </c>
      <c r="J45" s="71"/>
      <c r="K45" s="4" t="s">
        <v>249</v>
      </c>
      <c r="L45" s="4">
        <f t="shared" si="1"/>
        <v>35</v>
      </c>
      <c r="M45" s="264"/>
    </row>
    <row r="46" spans="1:13" ht="16.5" thickTop="1" x14ac:dyDescent="0.25">
      <c r="E46" s="217"/>
      <c r="G46" s="44"/>
      <c r="H46" s="50"/>
      <c r="I46" s="50"/>
      <c r="J46" s="50"/>
      <c r="K46" s="4"/>
    </row>
    <row r="47" spans="1:13" x14ac:dyDescent="0.25">
      <c r="E47" s="217"/>
      <c r="G47" s="44"/>
      <c r="H47" s="50"/>
      <c r="I47" s="50"/>
      <c r="J47" s="50"/>
      <c r="K47" s="4"/>
    </row>
    <row r="48" spans="1:13" x14ac:dyDescent="0.25">
      <c r="A48" s="1086" t="s">
        <v>2062</v>
      </c>
      <c r="B48" s="1087" t="s">
        <v>2069</v>
      </c>
      <c r="E48" s="217"/>
      <c r="G48" s="44"/>
      <c r="H48" s="50"/>
      <c r="I48" s="50"/>
      <c r="J48" s="50"/>
      <c r="K48" s="4"/>
    </row>
    <row r="49" spans="1:2" x14ac:dyDescent="0.25">
      <c r="A49" s="1086"/>
      <c r="B49" s="1087" t="s">
        <v>2070</v>
      </c>
    </row>
    <row r="50" spans="1:2" ht="18.75" x14ac:dyDescent="0.25">
      <c r="A50" s="252">
        <v>1</v>
      </c>
      <c r="B50" s="31" t="s">
        <v>250</v>
      </c>
    </row>
    <row r="51" spans="1:2" ht="18.75" x14ac:dyDescent="0.25">
      <c r="A51" s="265">
        <v>2</v>
      </c>
      <c r="B51" s="31" t="s">
        <v>251</v>
      </c>
    </row>
    <row r="52" spans="1:2" ht="18.75" x14ac:dyDescent="0.25">
      <c r="A52" s="265">
        <v>3</v>
      </c>
      <c r="B52" s="31" t="s">
        <v>252</v>
      </c>
    </row>
    <row r="53" spans="1:2" ht="18.75" x14ac:dyDescent="0.25">
      <c r="A53" s="265">
        <v>4</v>
      </c>
      <c r="B53" s="31" t="s">
        <v>2093</v>
      </c>
    </row>
    <row r="54" spans="1:2" ht="18.75" x14ac:dyDescent="0.25">
      <c r="A54" s="265">
        <v>5</v>
      </c>
      <c r="B54" s="31" t="s">
        <v>253</v>
      </c>
    </row>
    <row r="55" spans="1:2" ht="18.75" x14ac:dyDescent="0.25">
      <c r="A55" s="265">
        <v>6</v>
      </c>
      <c r="B55" s="31" t="s">
        <v>254</v>
      </c>
    </row>
    <row r="56" spans="1:2" ht="18.75" x14ac:dyDescent="0.25">
      <c r="A56" s="265"/>
    </row>
    <row r="57" spans="1:2" ht="18.75" x14ac:dyDescent="0.25">
      <c r="A57" s="265"/>
    </row>
    <row r="58" spans="1:2" ht="18.75" x14ac:dyDescent="0.25">
      <c r="A58" s="265"/>
    </row>
  </sheetData>
  <mergeCells count="5">
    <mergeCell ref="B2:K2"/>
    <mergeCell ref="B3:K3"/>
    <mergeCell ref="B4:K4"/>
    <mergeCell ref="B5:K5"/>
    <mergeCell ref="B6:K6"/>
  </mergeCells>
  <printOptions horizontalCentered="1"/>
  <pageMargins left="0.5" right="0.5" top="0.5" bottom="0.5" header="0.25" footer="0.25"/>
  <pageSetup scale="48" orientation="portrait" r:id="rId1"/>
  <headerFooter scaleWithDoc="0">
    <oddFooter>&amp;C&amp;"Times New Roman,Regular"&amp;10&amp;A</oddFooter>
  </headerFooter>
  <customProperties>
    <customPr name="_pios_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2:M32"/>
  <sheetViews>
    <sheetView zoomScale="80" zoomScaleNormal="80" workbookViewId="0">
      <selection activeCell="C24" sqref="C24:C26"/>
    </sheetView>
  </sheetViews>
  <sheetFormatPr defaultColWidth="8.7109375" defaultRowHeight="15.75" x14ac:dyDescent="0.25"/>
  <cols>
    <col min="1" max="1" width="5.28515625" style="4" customWidth="1"/>
    <col min="2" max="2" width="35.28515625" style="31" customWidth="1"/>
    <col min="3" max="3" width="18.5703125" style="31" customWidth="1"/>
    <col min="4" max="4" width="62.5703125" style="31" customWidth="1"/>
    <col min="5" max="5" width="5.28515625" style="31" customWidth="1"/>
    <col min="6" max="9" width="8.7109375" style="31"/>
    <col min="10" max="10" width="12.7109375" style="31" bestFit="1" customWidth="1"/>
    <col min="11" max="11" width="8.7109375" style="31"/>
    <col min="12" max="12" width="14" style="31" bestFit="1" customWidth="1"/>
    <col min="13" max="16384" width="8.7109375" style="31"/>
  </cols>
  <sheetData>
    <row r="2" spans="1:13" s="1" customFormat="1" x14ac:dyDescent="0.25">
      <c r="A2" s="217"/>
      <c r="B2" s="1316" t="s">
        <v>0</v>
      </c>
      <c r="C2" s="1316"/>
      <c r="D2" s="1316"/>
    </row>
    <row r="3" spans="1:13" s="1" customFormat="1" x14ac:dyDescent="0.25">
      <c r="A3" s="217"/>
      <c r="B3" s="1316" t="s">
        <v>446</v>
      </c>
      <c r="C3" s="1316"/>
      <c r="D3" s="1316"/>
    </row>
    <row r="4" spans="1:13" s="1" customFormat="1" x14ac:dyDescent="0.25">
      <c r="A4" s="217"/>
      <c r="B4" s="1316" t="s">
        <v>447</v>
      </c>
      <c r="C4" s="1316"/>
      <c r="D4" s="1316"/>
    </row>
    <row r="5" spans="1:13" s="1" customFormat="1" x14ac:dyDescent="0.25">
      <c r="A5" s="217"/>
      <c r="B5" s="1316" t="s">
        <v>448</v>
      </c>
      <c r="C5" s="1316"/>
      <c r="D5" s="1316"/>
    </row>
    <row r="6" spans="1:13" s="1" customFormat="1" x14ac:dyDescent="0.25">
      <c r="A6" s="217"/>
      <c r="B6" s="1316" t="str">
        <f>'AD-1'!B5</f>
        <v>BASE PERIOD / TRUE UP PERIOD - 12/31/2025 PER BOOK</v>
      </c>
      <c r="C6" s="1316"/>
      <c r="D6" s="1316"/>
    </row>
    <row r="7" spans="1:13" s="1" customFormat="1" x14ac:dyDescent="0.25">
      <c r="A7" s="217"/>
      <c r="B7" s="1312" t="s">
        <v>4</v>
      </c>
      <c r="C7" s="1312"/>
      <c r="D7" s="1312"/>
    </row>
    <row r="8" spans="1:13" s="1" customFormat="1" x14ac:dyDescent="0.25">
      <c r="A8" s="217"/>
      <c r="B8" s="266"/>
      <c r="C8" s="266"/>
      <c r="D8" s="266"/>
    </row>
    <row r="9" spans="1:13" s="1" customFormat="1" x14ac:dyDescent="0.25">
      <c r="A9" s="217"/>
      <c r="B9" s="1316" t="s">
        <v>294</v>
      </c>
      <c r="C9" s="1316"/>
      <c r="D9" s="1316"/>
    </row>
    <row r="10" spans="1:13" x14ac:dyDescent="0.25">
      <c r="B10" s="344"/>
      <c r="C10" s="84"/>
      <c r="D10" s="84"/>
      <c r="E10" s="4"/>
    </row>
    <row r="11" spans="1:13" x14ac:dyDescent="0.25">
      <c r="B11" s="924"/>
      <c r="C11" s="943" t="s">
        <v>295</v>
      </c>
      <c r="D11" s="925"/>
      <c r="E11" s="4"/>
    </row>
    <row r="12" spans="1:13" x14ac:dyDescent="0.25">
      <c r="A12" s="4" t="s">
        <v>5</v>
      </c>
      <c r="B12" s="277"/>
      <c r="C12" s="269" t="s">
        <v>449</v>
      </c>
      <c r="D12" s="945"/>
      <c r="E12" s="271" t="s">
        <v>5</v>
      </c>
      <c r="H12" s="266"/>
      <c r="I12" s="266"/>
      <c r="J12" s="266"/>
      <c r="K12" s="266"/>
      <c r="L12" s="266"/>
      <c r="M12" s="266"/>
    </row>
    <row r="13" spans="1:13" x14ac:dyDescent="0.25">
      <c r="A13" s="4" t="s">
        <v>6</v>
      </c>
      <c r="B13" s="274" t="s">
        <v>260</v>
      </c>
      <c r="C13" s="308" t="s">
        <v>450</v>
      </c>
      <c r="D13" s="274" t="s">
        <v>8</v>
      </c>
      <c r="E13" s="271" t="s">
        <v>6</v>
      </c>
      <c r="H13" s="266"/>
      <c r="I13" s="1"/>
      <c r="J13" s="1"/>
      <c r="K13" s="217"/>
      <c r="L13" s="1"/>
      <c r="M13" s="266"/>
    </row>
    <row r="14" spans="1:13" x14ac:dyDescent="0.25">
      <c r="A14" s="4">
        <v>1</v>
      </c>
      <c r="B14" s="928" t="str">
        <f>'AE-1'!B14</f>
        <v>Dec-24</v>
      </c>
      <c r="C14" s="231">
        <v>0</v>
      </c>
      <c r="D14" s="569" t="s">
        <v>263</v>
      </c>
      <c r="E14" s="271">
        <f>A14</f>
        <v>1</v>
      </c>
      <c r="G14" s="36"/>
      <c r="H14" s="266"/>
      <c r="I14" s="217"/>
      <c r="J14" s="217"/>
      <c r="K14" s="217"/>
      <c r="L14" s="266"/>
      <c r="M14" s="266"/>
    </row>
    <row r="15" spans="1:13" x14ac:dyDescent="0.25">
      <c r="A15" s="4">
        <f>A14+1</f>
        <v>2</v>
      </c>
      <c r="B15" s="928" t="str">
        <f>'AE-1'!B15</f>
        <v>Jan-25</v>
      </c>
      <c r="C15" s="232">
        <v>0</v>
      </c>
      <c r="D15" s="232"/>
      <c r="E15" s="271">
        <f>E14+1</f>
        <v>2</v>
      </c>
      <c r="G15" s="36"/>
      <c r="H15" s="266"/>
      <c r="I15" s="217"/>
      <c r="J15" s="217"/>
      <c r="K15" s="217"/>
      <c r="L15" s="266"/>
      <c r="M15" s="266"/>
    </row>
    <row r="16" spans="1:13" x14ac:dyDescent="0.25">
      <c r="A16" s="4">
        <f t="shared" ref="A16:A32" si="0">A15+1</f>
        <v>3</v>
      </c>
      <c r="B16" s="931" t="s">
        <v>265</v>
      </c>
      <c r="C16" s="232">
        <v>0</v>
      </c>
      <c r="D16" s="232"/>
      <c r="E16" s="271">
        <f t="shared" ref="E16:E32" si="1">E15+1</f>
        <v>3</v>
      </c>
      <c r="G16" s="36"/>
      <c r="H16" s="266"/>
      <c r="I16" s="217"/>
      <c r="J16" s="217"/>
      <c r="K16" s="217"/>
      <c r="L16" s="266"/>
      <c r="M16" s="266"/>
    </row>
    <row r="17" spans="1:13" x14ac:dyDescent="0.25">
      <c r="A17" s="4">
        <f t="shared" si="0"/>
        <v>4</v>
      </c>
      <c r="B17" s="931" t="s">
        <v>266</v>
      </c>
      <c r="C17" s="232">
        <v>0</v>
      </c>
      <c r="D17" s="232"/>
      <c r="E17" s="271">
        <f t="shared" si="1"/>
        <v>4</v>
      </c>
      <c r="H17" s="266"/>
      <c r="I17" s="217"/>
      <c r="J17" s="339"/>
      <c r="K17" s="217"/>
      <c r="L17" s="266"/>
      <c r="M17" s="266"/>
    </row>
    <row r="18" spans="1:13" x14ac:dyDescent="0.25">
      <c r="A18" s="4">
        <f t="shared" si="0"/>
        <v>5</v>
      </c>
      <c r="B18" s="931" t="s">
        <v>267</v>
      </c>
      <c r="C18" s="232">
        <v>0</v>
      </c>
      <c r="D18" s="232"/>
      <c r="E18" s="271">
        <f t="shared" si="1"/>
        <v>5</v>
      </c>
      <c r="H18" s="266"/>
      <c r="I18" s="217"/>
      <c r="J18" s="339"/>
      <c r="K18" s="217"/>
      <c r="L18" s="266"/>
      <c r="M18" s="266"/>
    </row>
    <row r="19" spans="1:13" x14ac:dyDescent="0.25">
      <c r="A19" s="4">
        <f t="shared" si="0"/>
        <v>6</v>
      </c>
      <c r="B19" s="931" t="s">
        <v>268</v>
      </c>
      <c r="C19" s="232">
        <v>0</v>
      </c>
      <c r="D19" s="232"/>
      <c r="E19" s="271">
        <f t="shared" si="1"/>
        <v>6</v>
      </c>
      <c r="H19" s="266"/>
      <c r="I19" s="339"/>
      <c r="J19" s="339"/>
      <c r="K19" s="345"/>
      <c r="L19" s="346"/>
      <c r="M19" s="266"/>
    </row>
    <row r="20" spans="1:13" x14ac:dyDescent="0.25">
      <c r="A20" s="4">
        <f>A19+1</f>
        <v>7</v>
      </c>
      <c r="B20" s="931" t="s">
        <v>269</v>
      </c>
      <c r="C20" s="232">
        <v>0</v>
      </c>
      <c r="D20" s="232"/>
      <c r="E20" s="271">
        <f>E19+1</f>
        <v>7</v>
      </c>
      <c r="H20" s="266"/>
      <c r="I20" s="347"/>
      <c r="J20" s="348"/>
      <c r="K20" s="349"/>
      <c r="L20" s="350"/>
      <c r="M20" s="266"/>
    </row>
    <row r="21" spans="1:13" x14ac:dyDescent="0.25">
      <c r="A21" s="4">
        <f t="shared" si="0"/>
        <v>8</v>
      </c>
      <c r="B21" s="931" t="s">
        <v>270</v>
      </c>
      <c r="C21" s="232">
        <v>0</v>
      </c>
      <c r="D21" s="232"/>
      <c r="E21" s="271">
        <f t="shared" si="1"/>
        <v>8</v>
      </c>
      <c r="H21" s="266"/>
      <c r="I21" s="351"/>
      <c r="J21" s="351"/>
      <c r="K21" s="346"/>
      <c r="L21" s="346"/>
      <c r="M21" s="266"/>
    </row>
    <row r="22" spans="1:13" x14ac:dyDescent="0.25">
      <c r="A22" s="4">
        <f t="shared" si="0"/>
        <v>9</v>
      </c>
      <c r="B22" s="931" t="s">
        <v>271</v>
      </c>
      <c r="C22" s="232">
        <v>0</v>
      </c>
      <c r="D22" s="232"/>
      <c r="E22" s="271">
        <f t="shared" si="1"/>
        <v>9</v>
      </c>
      <c r="H22" s="266"/>
      <c r="I22" s="347"/>
      <c r="J22" s="348"/>
      <c r="K22" s="352"/>
      <c r="L22" s="350"/>
      <c r="M22" s="266"/>
    </row>
    <row r="23" spans="1:13" x14ac:dyDescent="0.25">
      <c r="A23" s="4">
        <f t="shared" si="0"/>
        <v>10</v>
      </c>
      <c r="B23" s="931" t="s">
        <v>272</v>
      </c>
      <c r="C23" s="232">
        <v>0</v>
      </c>
      <c r="D23" s="232"/>
      <c r="E23" s="271">
        <f t="shared" si="1"/>
        <v>10</v>
      </c>
      <c r="H23" s="266"/>
      <c r="I23" s="1"/>
      <c r="J23" s="1"/>
      <c r="K23" s="346"/>
      <c r="L23" s="346"/>
      <c r="M23" s="266"/>
    </row>
    <row r="24" spans="1:13" x14ac:dyDescent="0.25">
      <c r="A24" s="4">
        <f t="shared" si="0"/>
        <v>11</v>
      </c>
      <c r="B24" s="931" t="s">
        <v>273</v>
      </c>
      <c r="C24" s="232">
        <v>11046.8565</v>
      </c>
      <c r="D24" s="232"/>
      <c r="E24" s="271">
        <f t="shared" si="1"/>
        <v>11</v>
      </c>
      <c r="H24" s="266"/>
      <c r="I24" s="1"/>
      <c r="J24" s="1"/>
      <c r="K24" s="345"/>
      <c r="L24" s="346"/>
      <c r="M24" s="266"/>
    </row>
    <row r="25" spans="1:13" x14ac:dyDescent="0.25">
      <c r="A25" s="4">
        <f t="shared" si="0"/>
        <v>12</v>
      </c>
      <c r="B25" s="931" t="s">
        <v>274</v>
      </c>
      <c r="C25" s="232">
        <v>11047.9815</v>
      </c>
      <c r="D25" s="232"/>
      <c r="E25" s="271">
        <f t="shared" si="1"/>
        <v>12</v>
      </c>
      <c r="H25" s="266"/>
      <c r="I25" s="1"/>
      <c r="J25" s="1"/>
      <c r="K25" s="345"/>
      <c r="L25" s="346"/>
      <c r="M25" s="266"/>
    </row>
    <row r="26" spans="1:13" x14ac:dyDescent="0.25">
      <c r="A26" s="4">
        <f t="shared" si="0"/>
        <v>13</v>
      </c>
      <c r="B26" s="629" t="str">
        <f>'AE-1'!B26</f>
        <v>Dec-25</v>
      </c>
      <c r="C26" s="232">
        <v>11049.566000000001</v>
      </c>
      <c r="D26" s="68" t="s">
        <v>263</v>
      </c>
      <c r="E26" s="271">
        <f t="shared" si="1"/>
        <v>13</v>
      </c>
      <c r="H26" s="266"/>
      <c r="I26" s="1"/>
      <c r="J26" s="1"/>
      <c r="K26" s="43"/>
      <c r="L26" s="86"/>
      <c r="M26" s="266"/>
    </row>
    <row r="27" spans="1:13" x14ac:dyDescent="0.25">
      <c r="A27" s="4">
        <f t="shared" si="0"/>
        <v>14</v>
      </c>
      <c r="B27" s="277"/>
      <c r="C27" s="976"/>
      <c r="D27" s="976"/>
      <c r="E27" s="271">
        <f t="shared" si="1"/>
        <v>14</v>
      </c>
    </row>
    <row r="28" spans="1:13" x14ac:dyDescent="0.25">
      <c r="A28" s="4">
        <f t="shared" si="0"/>
        <v>15</v>
      </c>
      <c r="B28" s="277" t="s">
        <v>276</v>
      </c>
      <c r="C28" s="961">
        <f>SUM(C14:C26)</f>
        <v>33144.404000000002</v>
      </c>
      <c r="D28" s="933" t="s">
        <v>277</v>
      </c>
      <c r="E28" s="271">
        <f t="shared" si="1"/>
        <v>15</v>
      </c>
    </row>
    <row r="29" spans="1:13" x14ac:dyDescent="0.25">
      <c r="A29" s="4">
        <f t="shared" si="0"/>
        <v>16</v>
      </c>
      <c r="B29" s="116"/>
      <c r="C29" s="92"/>
      <c r="D29" s="93"/>
      <c r="E29" s="271">
        <f t="shared" si="1"/>
        <v>16</v>
      </c>
    </row>
    <row r="30" spans="1:13" x14ac:dyDescent="0.25">
      <c r="A30" s="4">
        <f t="shared" si="0"/>
        <v>17</v>
      </c>
      <c r="B30" s="277"/>
      <c r="C30" s="977"/>
      <c r="D30" s="578"/>
      <c r="E30" s="271">
        <f t="shared" si="1"/>
        <v>17</v>
      </c>
    </row>
    <row r="31" spans="1:13" x14ac:dyDescent="0.25">
      <c r="A31" s="4">
        <f t="shared" si="0"/>
        <v>18</v>
      </c>
      <c r="B31" s="277" t="s">
        <v>451</v>
      </c>
      <c r="C31" s="961">
        <f>C28/13</f>
        <v>2549.5695384615387</v>
      </c>
      <c r="D31" s="934" t="s">
        <v>279</v>
      </c>
      <c r="E31" s="271">
        <f t="shared" si="1"/>
        <v>18</v>
      </c>
    </row>
    <row r="32" spans="1:13" x14ac:dyDescent="0.25">
      <c r="A32" s="4">
        <f t="shared" si="0"/>
        <v>19</v>
      </c>
      <c r="B32" s="116"/>
      <c r="C32" s="67"/>
      <c r="D32" s="67"/>
      <c r="E32" s="271">
        <f t="shared" si="1"/>
        <v>19</v>
      </c>
    </row>
  </sheetData>
  <mergeCells count="7">
    <mergeCell ref="B9:D9"/>
    <mergeCell ref="B2:D2"/>
    <mergeCell ref="B3:D3"/>
    <mergeCell ref="B4:D4"/>
    <mergeCell ref="B5:D5"/>
    <mergeCell ref="B6:D6"/>
    <mergeCell ref="B7:D7"/>
  </mergeCells>
  <printOptions horizontalCentered="1"/>
  <pageMargins left="0.5" right="0.5" top="0.5" bottom="0.5" header="0.25" footer="0.25"/>
  <pageSetup orientation="landscape" r:id="rId1"/>
  <headerFooter scaleWithDoc="0">
    <oddFooter>&amp;C&amp;"Times New Roman,Regular"&amp;10&amp;A</oddFooter>
  </headerFooter>
  <customProperties>
    <customPr name="_pios_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2:H25"/>
  <sheetViews>
    <sheetView zoomScale="80" zoomScaleNormal="80" workbookViewId="0">
      <selection activeCell="E37" sqref="E37"/>
    </sheetView>
  </sheetViews>
  <sheetFormatPr defaultColWidth="9.28515625" defaultRowHeight="15.75" x14ac:dyDescent="0.25"/>
  <cols>
    <col min="1" max="1" width="5.28515625" style="217" customWidth="1"/>
    <col min="2" max="2" width="35.28515625" style="1" customWidth="1"/>
    <col min="3" max="4" width="18.5703125" style="86" customWidth="1"/>
    <col min="5" max="5" width="18.5703125" style="1" customWidth="1"/>
    <col min="6" max="6" width="62.5703125" style="1" customWidth="1"/>
    <col min="7" max="7" width="5.28515625" style="217" customWidth="1"/>
    <col min="8" max="8" width="24" style="1" customWidth="1"/>
    <col min="9" max="9" width="11" style="1" customWidth="1"/>
    <col min="10" max="10" width="7.28515625" style="1" customWidth="1"/>
    <col min="11" max="11" width="9.28515625" style="1" customWidth="1"/>
    <col min="12" max="12" width="14" style="1" customWidth="1"/>
    <col min="13" max="13" width="13.42578125" style="1" customWidth="1"/>
    <col min="14" max="16384" width="9.28515625" style="1"/>
  </cols>
  <sheetData>
    <row r="2" spans="1:8" x14ac:dyDescent="0.25">
      <c r="B2" s="1316" t="s">
        <v>0</v>
      </c>
      <c r="C2" s="1316"/>
      <c r="D2" s="1316"/>
      <c r="E2" s="1316"/>
      <c r="F2" s="1316"/>
    </row>
    <row r="3" spans="1:8" x14ac:dyDescent="0.25">
      <c r="B3" s="1316" t="s">
        <v>446</v>
      </c>
      <c r="C3" s="1316"/>
      <c r="D3" s="1316"/>
      <c r="E3" s="1316"/>
      <c r="F3" s="1316"/>
    </row>
    <row r="4" spans="1:8" x14ac:dyDescent="0.25">
      <c r="B4" s="1316" t="s">
        <v>447</v>
      </c>
      <c r="C4" s="1316"/>
      <c r="D4" s="1316"/>
      <c r="E4" s="1316"/>
      <c r="F4" s="1316"/>
    </row>
    <row r="5" spans="1:8" x14ac:dyDescent="0.25">
      <c r="B5" s="1316" t="str">
        <f>'AD-1'!B5</f>
        <v>BASE PERIOD / TRUE UP PERIOD - 12/31/2025 PER BOOK</v>
      </c>
      <c r="C5" s="1316"/>
      <c r="D5" s="1316"/>
      <c r="E5" s="1316"/>
      <c r="F5" s="1316"/>
    </row>
    <row r="6" spans="1:8" x14ac:dyDescent="0.25">
      <c r="B6" s="1312" t="s">
        <v>4</v>
      </c>
      <c r="C6" s="1312"/>
      <c r="D6" s="1312"/>
      <c r="E6" s="1312"/>
      <c r="F6" s="1312"/>
    </row>
    <row r="8" spans="1:8" x14ac:dyDescent="0.25">
      <c r="B8" s="924"/>
      <c r="C8" s="978" t="s">
        <v>187</v>
      </c>
      <c r="D8" s="321" t="s">
        <v>188</v>
      </c>
      <c r="E8" s="321" t="s">
        <v>452</v>
      </c>
      <c r="F8" s="925"/>
    </row>
    <row r="9" spans="1:8" x14ac:dyDescent="0.25">
      <c r="A9" s="4"/>
      <c r="B9" s="269"/>
      <c r="C9" s="273" t="s">
        <v>453</v>
      </c>
      <c r="D9" s="273" t="s">
        <v>454</v>
      </c>
      <c r="E9" s="273" t="s">
        <v>455</v>
      </c>
      <c r="F9" s="932"/>
      <c r="G9" s="4"/>
    </row>
    <row r="10" spans="1:8" x14ac:dyDescent="0.25">
      <c r="A10" s="4" t="s">
        <v>5</v>
      </c>
      <c r="B10" s="269" t="s">
        <v>456</v>
      </c>
      <c r="C10" s="273" t="s">
        <v>7</v>
      </c>
      <c r="D10" s="273" t="s">
        <v>7</v>
      </c>
      <c r="E10" s="273" t="s">
        <v>7</v>
      </c>
      <c r="F10" s="269"/>
      <c r="G10" s="4" t="s">
        <v>5</v>
      </c>
    </row>
    <row r="11" spans="1:8" x14ac:dyDescent="0.25">
      <c r="A11" s="4" t="s">
        <v>6</v>
      </c>
      <c r="B11" s="274" t="s">
        <v>311</v>
      </c>
      <c r="C11" s="275" t="s">
        <v>457</v>
      </c>
      <c r="D11" s="274" t="s">
        <v>457</v>
      </c>
      <c r="E11" s="275" t="s">
        <v>457</v>
      </c>
      <c r="F11" s="274" t="s">
        <v>8</v>
      </c>
      <c r="G11" s="4" t="s">
        <v>6</v>
      </c>
    </row>
    <row r="12" spans="1:8" x14ac:dyDescent="0.25">
      <c r="A12" s="4">
        <v>1</v>
      </c>
      <c r="B12" s="979"/>
      <c r="C12" s="578">
        <v>0</v>
      </c>
      <c r="D12" s="578">
        <v>0</v>
      </c>
      <c r="E12" s="578">
        <f>(C12+D12)</f>
        <v>0</v>
      </c>
      <c r="F12" s="577"/>
      <c r="G12" s="4">
        <f>A12</f>
        <v>1</v>
      </c>
    </row>
    <row r="13" spans="1:8" x14ac:dyDescent="0.25">
      <c r="A13" s="4">
        <f>A12+1</f>
        <v>2</v>
      </c>
      <c r="B13" s="931"/>
      <c r="C13" s="232">
        <v>0</v>
      </c>
      <c r="D13" s="232">
        <v>0</v>
      </c>
      <c r="E13" s="232">
        <v>0</v>
      </c>
      <c r="F13" s="569"/>
      <c r="G13" s="4">
        <f>G12+1</f>
        <v>2</v>
      </c>
      <c r="H13" s="280"/>
    </row>
    <row r="14" spans="1:8" x14ac:dyDescent="0.25">
      <c r="A14" s="4">
        <f t="shared" ref="A14:A17" si="0">A13+1</f>
        <v>3</v>
      </c>
      <c r="B14" s="284"/>
      <c r="C14" s="93">
        <v>0</v>
      </c>
      <c r="D14" s="93">
        <v>0</v>
      </c>
      <c r="E14" s="93">
        <v>0</v>
      </c>
      <c r="F14" s="284"/>
      <c r="G14" s="4">
        <f t="shared" ref="G14:G17" si="1">G13+1</f>
        <v>3</v>
      </c>
    </row>
    <row r="15" spans="1:8" x14ac:dyDescent="0.25">
      <c r="A15" s="4">
        <f t="shared" si="0"/>
        <v>4</v>
      </c>
      <c r="B15" s="277"/>
      <c r="C15" s="60"/>
      <c r="D15" s="60"/>
      <c r="E15" s="60"/>
      <c r="F15" s="353"/>
      <c r="G15" s="4">
        <f t="shared" si="1"/>
        <v>4</v>
      </c>
    </row>
    <row r="16" spans="1:8" x14ac:dyDescent="0.25">
      <c r="A16" s="4">
        <f t="shared" si="0"/>
        <v>5</v>
      </c>
      <c r="B16" s="277" t="s">
        <v>180</v>
      </c>
      <c r="C16" s="55">
        <f>SUM(C12:C14)</f>
        <v>0</v>
      </c>
      <c r="D16" s="55">
        <f>SUM(D12:D14)</f>
        <v>0</v>
      </c>
      <c r="E16" s="55">
        <f>SUM(E12:E14)</f>
        <v>0</v>
      </c>
      <c r="F16" s="569" t="s">
        <v>458</v>
      </c>
      <c r="G16" s="4">
        <f t="shared" si="1"/>
        <v>5</v>
      </c>
    </row>
    <row r="17" spans="1:7" x14ac:dyDescent="0.25">
      <c r="A17" s="4">
        <f t="shared" si="0"/>
        <v>6</v>
      </c>
      <c r="B17" s="116"/>
      <c r="C17" s="56"/>
      <c r="D17" s="56"/>
      <c r="E17" s="56"/>
      <c r="F17" s="67"/>
      <c r="G17" s="4">
        <f t="shared" si="1"/>
        <v>6</v>
      </c>
    </row>
    <row r="18" spans="1:7" x14ac:dyDescent="0.25">
      <c r="A18" s="4"/>
      <c r="C18" s="43"/>
      <c r="D18" s="43"/>
      <c r="E18" s="43"/>
      <c r="F18" s="43"/>
      <c r="G18" s="4"/>
    </row>
    <row r="19" spans="1:7" x14ac:dyDescent="0.25">
      <c r="A19" s="4"/>
      <c r="C19" s="43"/>
      <c r="D19" s="43"/>
      <c r="E19" s="43"/>
      <c r="F19" s="43"/>
    </row>
    <row r="20" spans="1:7" ht="18.75" x14ac:dyDescent="0.25">
      <c r="A20" s="265"/>
      <c r="B20" s="354"/>
      <c r="C20" s="43"/>
      <c r="D20" s="43"/>
      <c r="E20" s="43"/>
      <c r="F20" s="43"/>
    </row>
    <row r="21" spans="1:7" x14ac:dyDescent="0.25">
      <c r="C21" s="43"/>
      <c r="D21" s="43"/>
      <c r="E21" s="43"/>
      <c r="F21" s="43"/>
    </row>
    <row r="22" spans="1:7" x14ac:dyDescent="0.25">
      <c r="B22" s="292"/>
      <c r="C22" s="355"/>
      <c r="D22" s="355"/>
      <c r="E22" s="355"/>
      <c r="F22" s="281"/>
      <c r="G22" s="579"/>
    </row>
    <row r="23" spans="1:7" x14ac:dyDescent="0.25">
      <c r="B23" s="31"/>
      <c r="C23" s="281"/>
      <c r="D23" s="1"/>
      <c r="F23" s="281"/>
      <c r="G23" s="579"/>
    </row>
    <row r="24" spans="1:7" x14ac:dyDescent="0.25">
      <c r="C24" s="281"/>
      <c r="D24" s="281"/>
      <c r="E24" s="281"/>
      <c r="F24" s="281"/>
      <c r="G24" s="579"/>
    </row>
    <row r="25" spans="1:7" x14ac:dyDescent="0.25">
      <c r="C25" s="280"/>
      <c r="D25" s="280"/>
      <c r="E25" s="280"/>
      <c r="F25" s="280"/>
      <c r="G25" s="579"/>
    </row>
  </sheetData>
  <mergeCells count="5">
    <mergeCell ref="B2:F2"/>
    <mergeCell ref="B3:F3"/>
    <mergeCell ref="B4:F4"/>
    <mergeCell ref="B5:F5"/>
    <mergeCell ref="B6:F6"/>
  </mergeCells>
  <printOptions horizontalCentered="1"/>
  <pageMargins left="0.5" right="0.5" top="0.5" bottom="0.5" header="0.25" footer="0.25"/>
  <pageSetup scale="77" orientation="landscape" r:id="rId1"/>
  <headerFooter scaleWithDoc="0">
    <oddFooter>&amp;C&amp;"Times New Roman,Regular"&amp;10&amp;A</oddFooter>
  </headerFooter>
  <colBreaks count="1" manualBreakCount="1">
    <brk id="7" max="1048575" man="1"/>
  </colBreaks>
  <customProperties>
    <customPr name="_pios_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P55"/>
  <sheetViews>
    <sheetView zoomScale="80" zoomScaleNormal="80" workbookViewId="0">
      <selection activeCell="L52" sqref="L52"/>
    </sheetView>
  </sheetViews>
  <sheetFormatPr defaultColWidth="8.7109375" defaultRowHeight="15.75" x14ac:dyDescent="0.25"/>
  <cols>
    <col min="1" max="1" width="5.28515625" style="4" bestFit="1" customWidth="1"/>
    <col min="2" max="2" width="78.42578125" style="31" customWidth="1"/>
    <col min="3" max="3" width="21.28515625" style="31" customWidth="1"/>
    <col min="4" max="4" width="1.5703125" style="31" customWidth="1"/>
    <col min="5" max="5" width="16.7109375" style="31" customWidth="1"/>
    <col min="6" max="6" width="1.5703125" style="31" customWidth="1"/>
    <col min="7" max="7" width="48.5703125" style="31" bestFit="1" customWidth="1"/>
    <col min="8" max="9" width="5.28515625" style="31" customWidth="1"/>
    <col min="10" max="10" width="20.42578125" style="31" bestFit="1" customWidth="1"/>
    <col min="11" max="15" width="8.7109375" style="31"/>
    <col min="16" max="16" width="68.140625" style="31" customWidth="1"/>
    <col min="17" max="16384" width="8.7109375" style="31"/>
  </cols>
  <sheetData>
    <row r="1" spans="1:12" x14ac:dyDescent="0.25">
      <c r="G1" s="4"/>
      <c r="H1" s="4"/>
    </row>
    <row r="2" spans="1:12" x14ac:dyDescent="0.25">
      <c r="B2" s="1316" t="s">
        <v>0</v>
      </c>
      <c r="C2" s="1316"/>
      <c r="D2" s="1316"/>
      <c r="E2" s="1316"/>
      <c r="F2" s="1316"/>
      <c r="G2" s="1316"/>
      <c r="H2" s="4"/>
    </row>
    <row r="3" spans="1:12" x14ac:dyDescent="0.25">
      <c r="B3" s="1316" t="s">
        <v>459</v>
      </c>
      <c r="C3" s="1316"/>
      <c r="D3" s="1316"/>
      <c r="E3" s="1316"/>
      <c r="F3" s="1316"/>
      <c r="G3" s="1316"/>
      <c r="H3" s="4"/>
    </row>
    <row r="4" spans="1:12" x14ac:dyDescent="0.25">
      <c r="B4" s="1316" t="s">
        <v>460</v>
      </c>
      <c r="C4" s="1316"/>
      <c r="D4" s="1316"/>
      <c r="E4" s="1316"/>
      <c r="F4" s="1316"/>
      <c r="G4" s="1316"/>
      <c r="H4" s="4"/>
    </row>
    <row r="5" spans="1:12" x14ac:dyDescent="0.25">
      <c r="B5" s="1318" t="str">
        <f>'Stmt AD'!B5</f>
        <v>Base Period &amp; True-Up Period 12 - Months Ending December 31, 2025</v>
      </c>
      <c r="C5" s="1318"/>
      <c r="D5" s="1318"/>
      <c r="E5" s="1318"/>
      <c r="F5" s="1318"/>
      <c r="G5" s="1318"/>
      <c r="H5" s="4"/>
      <c r="J5"/>
      <c r="K5"/>
      <c r="L5"/>
    </row>
    <row r="6" spans="1:12" x14ac:dyDescent="0.25">
      <c r="B6" s="1312" t="s">
        <v>4</v>
      </c>
      <c r="C6" s="1313"/>
      <c r="D6" s="1313"/>
      <c r="E6" s="1313"/>
      <c r="F6" s="1313"/>
      <c r="G6" s="1313"/>
      <c r="H6" s="4"/>
    </row>
    <row r="7" spans="1:12" x14ac:dyDescent="0.25">
      <c r="B7" s="4"/>
      <c r="C7" s="4"/>
      <c r="D7" s="4"/>
      <c r="E7" s="11"/>
      <c r="F7" s="11"/>
      <c r="G7" s="4"/>
      <c r="H7" s="4"/>
    </row>
    <row r="8" spans="1:12" x14ac:dyDescent="0.25">
      <c r="A8" s="4" t="s">
        <v>5</v>
      </c>
      <c r="B8" s="217"/>
      <c r="C8" s="4" t="s">
        <v>210</v>
      </c>
      <c r="D8" s="217"/>
      <c r="E8" s="356"/>
      <c r="F8" s="356"/>
      <c r="G8" s="4"/>
      <c r="H8" s="4" t="s">
        <v>5</v>
      </c>
    </row>
    <row r="9" spans="1:12" x14ac:dyDescent="0.25">
      <c r="A9" s="4" t="s">
        <v>6</v>
      </c>
      <c r="C9" s="848" t="s">
        <v>212</v>
      </c>
      <c r="D9" s="217"/>
      <c r="E9" s="849" t="s">
        <v>7</v>
      </c>
      <c r="F9" s="356"/>
      <c r="G9" s="848" t="s">
        <v>8</v>
      </c>
      <c r="H9" s="4" t="s">
        <v>6</v>
      </c>
    </row>
    <row r="10" spans="1:12" x14ac:dyDescent="0.25">
      <c r="C10" s="217"/>
      <c r="D10" s="217"/>
      <c r="E10" s="356"/>
      <c r="F10" s="356"/>
      <c r="G10" s="4"/>
      <c r="H10" s="4"/>
    </row>
    <row r="11" spans="1:12" x14ac:dyDescent="0.25">
      <c r="A11" s="4">
        <v>1</v>
      </c>
      <c r="B11" s="250" t="s">
        <v>461</v>
      </c>
      <c r="G11" s="4"/>
      <c r="H11" s="4">
        <f>A11</f>
        <v>1</v>
      </c>
    </row>
    <row r="12" spans="1:12" x14ac:dyDescent="0.25">
      <c r="A12" s="4">
        <f>+A11+1</f>
        <v>2</v>
      </c>
      <c r="B12" s="31" t="s">
        <v>462</v>
      </c>
      <c r="C12" s="4" t="s">
        <v>463</v>
      </c>
      <c r="E12" s="40">
        <f>'AH-1'!D43</f>
        <v>109226.00699999998</v>
      </c>
      <c r="G12" s="4" t="s">
        <v>464</v>
      </c>
      <c r="H12" s="4">
        <f>+H11+1</f>
        <v>2</v>
      </c>
    </row>
    <row r="13" spans="1:12" x14ac:dyDescent="0.25">
      <c r="A13" s="4">
        <f t="shared" ref="A13:A51" si="0">+A12+1</f>
        <v>3</v>
      </c>
      <c r="B13" s="32" t="s">
        <v>1497</v>
      </c>
      <c r="E13" s="1099">
        <f>-'AH-1'!E43</f>
        <v>-5088.0311600000005</v>
      </c>
      <c r="G13" s="4" t="s">
        <v>1491</v>
      </c>
      <c r="H13" s="4">
        <f t="shared" ref="H13:H51" si="1">+H12+1</f>
        <v>3</v>
      </c>
      <c r="K13" s="276"/>
    </row>
    <row r="14" spans="1:12" x14ac:dyDescent="0.25">
      <c r="A14" s="622">
        <f t="shared" si="0"/>
        <v>4</v>
      </c>
      <c r="B14" s="32" t="s">
        <v>1880</v>
      </c>
      <c r="C14" s="193"/>
      <c r="D14" s="193"/>
      <c r="E14" s="1099">
        <f>-'AH-1'!F68</f>
        <v>-2154.6663092754898</v>
      </c>
      <c r="F14" s="193"/>
      <c r="G14" s="4" t="s">
        <v>1957</v>
      </c>
      <c r="H14" s="622">
        <f t="shared" si="1"/>
        <v>4</v>
      </c>
      <c r="J14" s="276"/>
      <c r="K14" s="276"/>
    </row>
    <row r="15" spans="1:12" ht="16.5" thickBot="1" x14ac:dyDescent="0.3">
      <c r="A15" s="4">
        <f t="shared" si="0"/>
        <v>5</v>
      </c>
      <c r="B15" s="31" t="s">
        <v>465</v>
      </c>
      <c r="E15" s="95">
        <f>SUM(E12:E14)</f>
        <v>101983.30953072449</v>
      </c>
      <c r="G15" s="4" t="s">
        <v>1498</v>
      </c>
      <c r="H15" s="4">
        <f t="shared" si="1"/>
        <v>5</v>
      </c>
      <c r="I15" s="357"/>
    </row>
    <row r="16" spans="1:12" ht="16.5" thickTop="1" x14ac:dyDescent="0.25">
      <c r="A16" s="4">
        <f t="shared" si="0"/>
        <v>6</v>
      </c>
      <c r="E16" s="6"/>
      <c r="H16" s="4">
        <f t="shared" si="1"/>
        <v>6</v>
      </c>
      <c r="I16" s="357"/>
    </row>
    <row r="17" spans="1:16" x14ac:dyDescent="0.25">
      <c r="A17" s="4">
        <f t="shared" si="0"/>
        <v>7</v>
      </c>
      <c r="B17" s="249" t="s">
        <v>466</v>
      </c>
      <c r="E17" s="38"/>
      <c r="G17" s="4"/>
      <c r="H17" s="4">
        <f t="shared" si="1"/>
        <v>7</v>
      </c>
      <c r="I17" s="357"/>
    </row>
    <row r="18" spans="1:16" x14ac:dyDescent="0.25">
      <c r="A18" s="4">
        <f t="shared" si="0"/>
        <v>8</v>
      </c>
      <c r="B18" s="32" t="s">
        <v>467</v>
      </c>
      <c r="C18" s="4" t="s">
        <v>468</v>
      </c>
      <c r="E18" s="40">
        <f>'AH-2'!D26</f>
        <v>630054.61277000001</v>
      </c>
      <c r="G18" s="4" t="s">
        <v>469</v>
      </c>
      <c r="H18" s="4">
        <f t="shared" si="1"/>
        <v>8</v>
      </c>
      <c r="I18" s="357"/>
    </row>
    <row r="19" spans="1:16" ht="31.5" x14ac:dyDescent="0.25">
      <c r="A19" s="4">
        <f t="shared" si="0"/>
        <v>9</v>
      </c>
      <c r="B19" s="32" t="s">
        <v>1499</v>
      </c>
      <c r="E19" s="42">
        <f>-'AH-2'!E26+'AH-2'!D40</f>
        <v>-136514.22631466101</v>
      </c>
      <c r="G19" s="90" t="s">
        <v>2071</v>
      </c>
      <c r="H19" s="4">
        <f t="shared" si="1"/>
        <v>9</v>
      </c>
      <c r="I19" s="357"/>
      <c r="K19" s="276"/>
      <c r="P19" s="90"/>
    </row>
    <row r="20" spans="1:16" ht="18.75" x14ac:dyDescent="0.25">
      <c r="A20" s="4">
        <f t="shared" si="0"/>
        <v>10</v>
      </c>
      <c r="B20" s="32" t="s">
        <v>1500</v>
      </c>
      <c r="E20" s="42">
        <f>-'AH-2'!D40</f>
        <v>0</v>
      </c>
      <c r="G20" s="4" t="s">
        <v>2072</v>
      </c>
      <c r="H20" s="4">
        <f t="shared" si="1"/>
        <v>10</v>
      </c>
      <c r="I20" s="357"/>
      <c r="J20" s="35"/>
    </row>
    <row r="21" spans="1:16" x14ac:dyDescent="0.25">
      <c r="A21" s="4">
        <f t="shared" si="0"/>
        <v>11</v>
      </c>
      <c r="B21" s="32"/>
      <c r="E21" s="922"/>
      <c r="G21" s="44"/>
      <c r="H21" s="4">
        <f t="shared" si="1"/>
        <v>11</v>
      </c>
      <c r="I21" s="357"/>
      <c r="J21" s="276"/>
      <c r="K21" s="276"/>
    </row>
    <row r="22" spans="1:16" x14ac:dyDescent="0.25">
      <c r="A22" s="4">
        <f t="shared" si="0"/>
        <v>12</v>
      </c>
      <c r="B22" s="32" t="s">
        <v>470</v>
      </c>
      <c r="E22" s="48">
        <f>SUM(E18:E20)</f>
        <v>493540.38645533903</v>
      </c>
      <c r="G22" s="4" t="s">
        <v>1906</v>
      </c>
      <c r="H22" s="4">
        <f t="shared" si="1"/>
        <v>12</v>
      </c>
      <c r="I22" s="357"/>
    </row>
    <row r="23" spans="1:16" x14ac:dyDescent="0.25">
      <c r="A23" s="4">
        <f t="shared" si="0"/>
        <v>13</v>
      </c>
      <c r="B23" s="32" t="s">
        <v>471</v>
      </c>
      <c r="E23" s="38">
        <f>-'AH-2'!F15</f>
        <v>-10560.587149999999</v>
      </c>
      <c r="G23" s="4" t="s">
        <v>472</v>
      </c>
      <c r="H23" s="4">
        <f t="shared" si="1"/>
        <v>13</v>
      </c>
      <c r="I23" s="357"/>
    </row>
    <row r="24" spans="1:16" x14ac:dyDescent="0.25">
      <c r="A24" s="4">
        <f t="shared" si="0"/>
        <v>14</v>
      </c>
      <c r="B24" s="32" t="s">
        <v>1693</v>
      </c>
      <c r="E24" s="922">
        <f>-'AH-2'!F16</f>
        <v>-163712.845738576</v>
      </c>
      <c r="G24" s="4" t="s">
        <v>1694</v>
      </c>
      <c r="H24" s="4">
        <f t="shared" si="1"/>
        <v>14</v>
      </c>
      <c r="I24" s="357"/>
    </row>
    <row r="25" spans="1:16" x14ac:dyDescent="0.25">
      <c r="A25" s="4">
        <f t="shared" si="0"/>
        <v>15</v>
      </c>
      <c r="B25" s="32" t="s">
        <v>473</v>
      </c>
      <c r="E25" s="48">
        <f>SUM(E22:E24)</f>
        <v>319266.95356676308</v>
      </c>
      <c r="G25" s="4" t="s">
        <v>843</v>
      </c>
      <c r="H25" s="4">
        <f t="shared" si="1"/>
        <v>15</v>
      </c>
      <c r="I25" s="357"/>
      <c r="K25" s="276"/>
    </row>
    <row r="26" spans="1:16" x14ac:dyDescent="0.25">
      <c r="A26" s="4">
        <f t="shared" si="0"/>
        <v>16</v>
      </c>
      <c r="B26" s="31" t="s">
        <v>238</v>
      </c>
      <c r="E26" s="923">
        <f>IFERROR('Stmt AI'!E25,0)</f>
        <v>0.20710488637345756</v>
      </c>
      <c r="G26" s="4" t="s">
        <v>239</v>
      </c>
      <c r="H26" s="4">
        <f t="shared" si="1"/>
        <v>16</v>
      </c>
      <c r="I26" s="357"/>
      <c r="K26" s="276"/>
    </row>
    <row r="27" spans="1:16" x14ac:dyDescent="0.25">
      <c r="A27" s="4">
        <f t="shared" si="0"/>
        <v>17</v>
      </c>
      <c r="B27" s="32" t="s">
        <v>474</v>
      </c>
      <c r="E27" s="908">
        <f>E25*E26</f>
        <v>66121.746141244425</v>
      </c>
      <c r="G27" s="4" t="s">
        <v>1695</v>
      </c>
      <c r="H27" s="4">
        <f t="shared" si="1"/>
        <v>17</v>
      </c>
      <c r="I27" s="357"/>
    </row>
    <row r="28" spans="1:16" x14ac:dyDescent="0.25">
      <c r="A28" s="4">
        <f t="shared" si="0"/>
        <v>18</v>
      </c>
      <c r="B28" s="31" t="s">
        <v>475</v>
      </c>
      <c r="E28" s="38">
        <f>E49*(-E23)</f>
        <v>3886.6563081145832</v>
      </c>
      <c r="G28" s="4" t="s">
        <v>1766</v>
      </c>
      <c r="H28" s="4">
        <f t="shared" si="1"/>
        <v>18</v>
      </c>
      <c r="I28" s="357"/>
    </row>
    <row r="29" spans="1:16" x14ac:dyDescent="0.25">
      <c r="A29" s="4">
        <f t="shared" si="0"/>
        <v>19</v>
      </c>
      <c r="B29" s="31" t="s">
        <v>1696</v>
      </c>
      <c r="E29" s="922">
        <f>-E24*E51</f>
        <v>39174.966594439618</v>
      </c>
      <c r="G29" s="90" t="s">
        <v>1768</v>
      </c>
      <c r="H29" s="4">
        <f t="shared" si="1"/>
        <v>19</v>
      </c>
      <c r="I29" s="357"/>
      <c r="K29" s="276"/>
    </row>
    <row r="30" spans="1:16" ht="16.5" thickBot="1" x14ac:dyDescent="0.3">
      <c r="A30" s="4">
        <f t="shared" si="0"/>
        <v>20</v>
      </c>
      <c r="B30" s="32" t="s">
        <v>476</v>
      </c>
      <c r="E30" s="24">
        <f>SUM(E27:E29)</f>
        <v>109183.36904379862</v>
      </c>
      <c r="G30" s="4" t="s">
        <v>1697</v>
      </c>
      <c r="H30" s="4">
        <f t="shared" si="1"/>
        <v>20</v>
      </c>
      <c r="I30" s="357"/>
    </row>
    <row r="31" spans="1:16" ht="16.5" thickTop="1" x14ac:dyDescent="0.25">
      <c r="A31" s="4">
        <f t="shared" si="0"/>
        <v>21</v>
      </c>
      <c r="B31" s="339"/>
      <c r="E31" s="10"/>
      <c r="G31" s="4"/>
      <c r="H31" s="4">
        <f t="shared" si="1"/>
        <v>21</v>
      </c>
      <c r="I31" s="357"/>
    </row>
    <row r="32" spans="1:16" x14ac:dyDescent="0.25">
      <c r="A32" s="4">
        <f t="shared" si="0"/>
        <v>22</v>
      </c>
      <c r="B32" s="249" t="s">
        <v>477</v>
      </c>
      <c r="E32" s="49"/>
      <c r="G32" s="4"/>
      <c r="H32" s="4">
        <f t="shared" si="1"/>
        <v>22</v>
      </c>
      <c r="I32" s="357"/>
    </row>
    <row r="33" spans="1:11" x14ac:dyDescent="0.25">
      <c r="A33" s="4">
        <f t="shared" si="0"/>
        <v>23</v>
      </c>
      <c r="B33" s="32" t="s">
        <v>478</v>
      </c>
      <c r="E33" s="7">
        <f>'Stmt AD'!I35</f>
        <v>8948474.2530016713</v>
      </c>
      <c r="G33" s="4" t="s">
        <v>479</v>
      </c>
      <c r="H33" s="4">
        <f t="shared" si="1"/>
        <v>23</v>
      </c>
      <c r="I33" s="357"/>
    </row>
    <row r="34" spans="1:11" x14ac:dyDescent="0.25">
      <c r="A34" s="4">
        <f t="shared" si="0"/>
        <v>24</v>
      </c>
      <c r="B34" s="32" t="s">
        <v>58</v>
      </c>
      <c r="E34" s="94">
        <v>0</v>
      </c>
      <c r="G34" s="4" t="s">
        <v>44</v>
      </c>
      <c r="H34" s="4">
        <f t="shared" si="1"/>
        <v>24</v>
      </c>
      <c r="I34" s="357"/>
    </row>
    <row r="35" spans="1:11" x14ac:dyDescent="0.25">
      <c r="A35" s="4">
        <f t="shared" si="0"/>
        <v>25</v>
      </c>
      <c r="B35" s="32" t="s">
        <v>60</v>
      </c>
      <c r="E35" s="9">
        <f>'Stmt AD'!I39</f>
        <v>63728.047961633194</v>
      </c>
      <c r="G35" s="4" t="s">
        <v>115</v>
      </c>
      <c r="H35" s="4">
        <f t="shared" si="1"/>
        <v>25</v>
      </c>
      <c r="I35" s="357"/>
      <c r="K35" s="276"/>
    </row>
    <row r="36" spans="1:11" x14ac:dyDescent="0.25">
      <c r="A36" s="4">
        <f t="shared" si="0"/>
        <v>26</v>
      </c>
      <c r="B36" s="32" t="s">
        <v>244</v>
      </c>
      <c r="E36" s="841">
        <f>'Stmt AD'!I41</f>
        <v>408196.55337768659</v>
      </c>
      <c r="G36" s="4" t="s">
        <v>116</v>
      </c>
      <c r="H36" s="4">
        <f t="shared" si="1"/>
        <v>26</v>
      </c>
      <c r="I36" s="357"/>
      <c r="K36" s="276"/>
    </row>
    <row r="37" spans="1:11" ht="16.5" thickBot="1" x14ac:dyDescent="0.3">
      <c r="A37" s="4">
        <f t="shared" si="0"/>
        <v>27</v>
      </c>
      <c r="B37" s="32" t="s">
        <v>480</v>
      </c>
      <c r="E37" s="17">
        <f>SUM(E33:E36)</f>
        <v>9420398.854340991</v>
      </c>
      <c r="G37" s="4" t="s">
        <v>1700</v>
      </c>
      <c r="H37" s="4">
        <f t="shared" si="1"/>
        <v>27</v>
      </c>
      <c r="I37" s="357"/>
    </row>
    <row r="38" spans="1:11" ht="16.5" thickTop="1" x14ac:dyDescent="0.25">
      <c r="A38" s="4">
        <f t="shared" si="0"/>
        <v>28</v>
      </c>
      <c r="B38" s="339"/>
      <c r="E38" s="6"/>
      <c r="G38" s="4"/>
      <c r="H38" s="4">
        <f t="shared" si="1"/>
        <v>28</v>
      </c>
      <c r="I38" s="357"/>
    </row>
    <row r="39" spans="1:11" x14ac:dyDescent="0.25">
      <c r="A39" s="4">
        <f t="shared" si="0"/>
        <v>29</v>
      </c>
      <c r="B39" s="32" t="s">
        <v>240</v>
      </c>
      <c r="E39" s="35">
        <f>E33</f>
        <v>8948474.2530016713</v>
      </c>
      <c r="G39" s="46" t="s">
        <v>1701</v>
      </c>
      <c r="H39" s="4">
        <f t="shared" si="1"/>
        <v>29</v>
      </c>
      <c r="I39" s="357"/>
    </row>
    <row r="40" spans="1:11" x14ac:dyDescent="0.25">
      <c r="A40" s="4">
        <f t="shared" si="0"/>
        <v>30</v>
      </c>
      <c r="B40" s="32" t="s">
        <v>481</v>
      </c>
      <c r="E40" s="12">
        <f>'Stmt AD'!I11</f>
        <v>605411.75423846149</v>
      </c>
      <c r="G40" s="4" t="s">
        <v>482</v>
      </c>
      <c r="H40" s="4">
        <f t="shared" si="1"/>
        <v>30</v>
      </c>
      <c r="I40" s="357"/>
    </row>
    <row r="41" spans="1:11" x14ac:dyDescent="0.25">
      <c r="A41" s="4">
        <f t="shared" si="0"/>
        <v>31</v>
      </c>
      <c r="B41" s="32" t="s">
        <v>483</v>
      </c>
      <c r="E41" s="94">
        <v>0</v>
      </c>
      <c r="G41" s="4" t="s">
        <v>44</v>
      </c>
      <c r="H41" s="4">
        <f t="shared" si="1"/>
        <v>31</v>
      </c>
      <c r="I41" s="357"/>
    </row>
    <row r="42" spans="1:11" x14ac:dyDescent="0.25">
      <c r="A42" s="4">
        <f t="shared" si="0"/>
        <v>32</v>
      </c>
      <c r="B42" s="32" t="s">
        <v>484</v>
      </c>
      <c r="E42" s="12">
        <f>'Stmt AD'!I17</f>
        <v>619847.75273230788</v>
      </c>
      <c r="G42" s="4" t="s">
        <v>485</v>
      </c>
      <c r="H42" s="4">
        <f t="shared" si="1"/>
        <v>32</v>
      </c>
      <c r="I42" s="357"/>
    </row>
    <row r="43" spans="1:11" x14ac:dyDescent="0.25">
      <c r="A43" s="4">
        <f t="shared" si="0"/>
        <v>33</v>
      </c>
      <c r="B43" s="32" t="s">
        <v>486</v>
      </c>
      <c r="E43" s="12">
        <f>'Stmt AD'!I19</f>
        <v>13144129.127553528</v>
      </c>
      <c r="G43" s="4" t="s">
        <v>487</v>
      </c>
      <c r="H43" s="4">
        <f t="shared" si="1"/>
        <v>33</v>
      </c>
      <c r="I43" s="357"/>
    </row>
    <row r="44" spans="1:11" x14ac:dyDescent="0.25">
      <c r="A44" s="4">
        <f t="shared" si="0"/>
        <v>34</v>
      </c>
      <c r="B44" s="32" t="s">
        <v>58</v>
      </c>
      <c r="E44" s="94">
        <v>0</v>
      </c>
      <c r="G44" s="4" t="s">
        <v>44</v>
      </c>
      <c r="H44" s="4">
        <f t="shared" si="1"/>
        <v>34</v>
      </c>
      <c r="I44" s="357"/>
    </row>
    <row r="45" spans="1:11" x14ac:dyDescent="0.25">
      <c r="A45" s="4">
        <f t="shared" si="0"/>
        <v>35</v>
      </c>
      <c r="B45" s="32" t="s">
        <v>488</v>
      </c>
      <c r="E45" s="12">
        <f>'Stmt AD'!I27</f>
        <v>307709.05060500081</v>
      </c>
      <c r="G45" s="4" t="s">
        <v>489</v>
      </c>
      <c r="H45" s="4">
        <f t="shared" si="1"/>
        <v>35</v>
      </c>
      <c r="I45" s="357"/>
    </row>
    <row r="46" spans="1:11" x14ac:dyDescent="0.25">
      <c r="A46" s="4">
        <f t="shared" si="0"/>
        <v>36</v>
      </c>
      <c r="B46" s="32" t="s">
        <v>490</v>
      </c>
      <c r="E46" s="980">
        <f>'Stmt AD'!I29</f>
        <v>1970965.34285345</v>
      </c>
      <c r="G46" s="4" t="s">
        <v>491</v>
      </c>
      <c r="H46" s="4">
        <f t="shared" si="1"/>
        <v>36</v>
      </c>
      <c r="I46" s="357"/>
    </row>
    <row r="47" spans="1:11" ht="16.5" thickBot="1" x14ac:dyDescent="0.3">
      <c r="A47" s="4">
        <f t="shared" si="0"/>
        <v>37</v>
      </c>
      <c r="B47" s="32" t="s">
        <v>492</v>
      </c>
      <c r="E47" s="95">
        <f>SUM(E39:E46)</f>
        <v>25596537.280984417</v>
      </c>
      <c r="G47" s="4" t="s">
        <v>1702</v>
      </c>
      <c r="H47" s="4">
        <f t="shared" si="1"/>
        <v>37</v>
      </c>
      <c r="I47" s="357"/>
    </row>
    <row r="48" spans="1:11" ht="16.5" thickTop="1" x14ac:dyDescent="0.25">
      <c r="A48" s="4">
        <f t="shared" si="0"/>
        <v>38</v>
      </c>
      <c r="E48" s="70"/>
      <c r="G48" s="4"/>
      <c r="H48" s="4">
        <f t="shared" si="1"/>
        <v>38</v>
      </c>
      <c r="I48" s="357"/>
    </row>
    <row r="49" spans="1:11" ht="16.5" thickBot="1" x14ac:dyDescent="0.3">
      <c r="A49" s="4">
        <f t="shared" si="0"/>
        <v>39</v>
      </c>
      <c r="B49" s="32" t="s">
        <v>493</v>
      </c>
      <c r="E49" s="51">
        <f>IFERROR(E37/E47,0)</f>
        <v>0.36803411144754233</v>
      </c>
      <c r="G49" s="4" t="s">
        <v>1703</v>
      </c>
      <c r="H49" s="4">
        <f t="shared" si="1"/>
        <v>39</v>
      </c>
      <c r="I49" s="357"/>
      <c r="K49" s="276"/>
    </row>
    <row r="50" spans="1:11" ht="16.5" thickTop="1" x14ac:dyDescent="0.25">
      <c r="A50" s="4">
        <f t="shared" si="0"/>
        <v>40</v>
      </c>
      <c r="B50" s="32"/>
      <c r="E50" s="27"/>
      <c r="G50" s="4"/>
      <c r="H50" s="4">
        <f t="shared" si="1"/>
        <v>40</v>
      </c>
      <c r="I50" s="357"/>
    </row>
    <row r="51" spans="1:11" ht="16.5" thickBot="1" x14ac:dyDescent="0.3">
      <c r="A51" s="4">
        <f t="shared" si="0"/>
        <v>41</v>
      </c>
      <c r="B51" s="32" t="s">
        <v>1767</v>
      </c>
      <c r="C51" s="254"/>
      <c r="D51" s="254"/>
      <c r="E51" s="51">
        <f>((0.8*E26)+(0.2*'Stmt AD'!I45))</f>
        <v>0.23929073138827456</v>
      </c>
      <c r="F51" s="254"/>
      <c r="G51" s="4" t="s">
        <v>1881</v>
      </c>
      <c r="H51" s="4">
        <f t="shared" si="1"/>
        <v>41</v>
      </c>
      <c r="I51" s="357"/>
      <c r="J51" s="276"/>
      <c r="K51" s="276"/>
    </row>
    <row r="52" spans="1:11" ht="16.5" thickTop="1" x14ac:dyDescent="0.25">
      <c r="B52" s="32" t="s">
        <v>1</v>
      </c>
      <c r="E52" s="75"/>
      <c r="G52" s="4"/>
      <c r="H52" s="4"/>
    </row>
    <row r="53" spans="1:11" x14ac:dyDescent="0.25">
      <c r="B53" s="32"/>
      <c r="E53" s="75"/>
      <c r="F53" s="75"/>
      <c r="G53" s="4"/>
      <c r="H53" s="4"/>
    </row>
    <row r="54" spans="1:11" ht="18.75" x14ac:dyDescent="0.25">
      <c r="A54" s="265">
        <v>1</v>
      </c>
      <c r="B54" s="32" t="s">
        <v>2018</v>
      </c>
      <c r="H54" s="4"/>
    </row>
    <row r="55" spans="1:11" ht="18.75" x14ac:dyDescent="0.25">
      <c r="B55" s="32" t="s">
        <v>2019</v>
      </c>
      <c r="E55" s="70"/>
      <c r="F55" s="70"/>
      <c r="G55" s="4"/>
      <c r="H55" s="4"/>
    </row>
  </sheetData>
  <mergeCells count="5">
    <mergeCell ref="B2:G2"/>
    <mergeCell ref="B3:G3"/>
    <mergeCell ref="B4:G4"/>
    <mergeCell ref="B5:G5"/>
    <mergeCell ref="B6:G6"/>
  </mergeCells>
  <printOptions horizontalCentered="1"/>
  <pageMargins left="0.5" right="0.5" top="0.5" bottom="0.5" header="0.25" footer="0.25"/>
  <pageSetup scale="53" orientation="portrait" r:id="rId1"/>
  <headerFooter scaleWithDoc="0">
    <oddFooter>&amp;C&amp;"Times New Roman,Regular"&amp;10&amp;A</oddFooter>
  </headerFooter>
  <customProperties>
    <customPr name="_pios_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L417"/>
  <sheetViews>
    <sheetView topLeftCell="A17" zoomScale="80" zoomScaleNormal="80" workbookViewId="0">
      <selection activeCell="E50" sqref="E50"/>
    </sheetView>
  </sheetViews>
  <sheetFormatPr defaultColWidth="13.42578125" defaultRowHeight="15.75" x14ac:dyDescent="0.25"/>
  <cols>
    <col min="1" max="1" width="5.28515625" style="4" customWidth="1"/>
    <col min="2" max="2" width="8.5703125" style="359" customWidth="1"/>
    <col min="3" max="3" width="63.7109375" style="31" customWidth="1"/>
    <col min="4" max="4" width="16.7109375" style="31" customWidth="1"/>
    <col min="5" max="5" width="16.7109375" style="6" customWidth="1"/>
    <col min="6" max="6" width="16.7109375" style="31" customWidth="1"/>
    <col min="7" max="7" width="35.7109375" style="31" customWidth="1"/>
    <col min="8" max="8" width="5.28515625" style="4" customWidth="1"/>
    <col min="9" max="16384" width="13.42578125" style="31"/>
  </cols>
  <sheetData>
    <row r="1" spans="1:11" x14ac:dyDescent="0.25">
      <c r="A1" s="217"/>
    </row>
    <row r="2" spans="1:11" s="1" customFormat="1" x14ac:dyDescent="0.25">
      <c r="A2" s="217"/>
      <c r="B2" s="1316" t="s">
        <v>0</v>
      </c>
      <c r="C2" s="1316"/>
      <c r="D2" s="1316"/>
      <c r="E2" s="1316"/>
      <c r="F2" s="1316"/>
      <c r="G2" s="1316"/>
      <c r="H2" s="217"/>
      <c r="J2"/>
      <c r="K2"/>
    </row>
    <row r="3" spans="1:11" s="1" customFormat="1" x14ac:dyDescent="0.25">
      <c r="A3" s="217"/>
      <c r="B3" s="1316" t="s">
        <v>494</v>
      </c>
      <c r="C3" s="1316"/>
      <c r="D3" s="1316"/>
      <c r="E3" s="1316"/>
      <c r="F3" s="1316"/>
      <c r="G3" s="1316"/>
      <c r="H3" s="217"/>
    </row>
    <row r="4" spans="1:11" s="1" customFormat="1" x14ac:dyDescent="0.25">
      <c r="A4" s="217"/>
      <c r="B4" s="1316" t="s">
        <v>2055</v>
      </c>
      <c r="C4" s="1316"/>
      <c r="D4" s="1316"/>
      <c r="E4" s="1316"/>
      <c r="F4" s="1316"/>
      <c r="G4" s="1316"/>
      <c r="H4" s="217"/>
      <c r="J4"/>
      <c r="K4"/>
    </row>
    <row r="5" spans="1:11" s="1" customFormat="1" x14ac:dyDescent="0.25">
      <c r="A5" s="217"/>
      <c r="B5" s="1312" t="s">
        <v>4</v>
      </c>
      <c r="C5" s="1312"/>
      <c r="D5" s="1312"/>
      <c r="E5" s="1312"/>
      <c r="F5" s="1312"/>
      <c r="G5" s="1312"/>
      <c r="H5" s="217"/>
    </row>
    <row r="6" spans="1:11" ht="16.5" thickBot="1" x14ac:dyDescent="0.3">
      <c r="A6" s="34"/>
      <c r="B6" s="360"/>
      <c r="C6" s="271"/>
      <c r="D6" s="271"/>
      <c r="E6" s="361"/>
      <c r="F6" s="271"/>
      <c r="G6" s="271"/>
    </row>
    <row r="7" spans="1:11" s="1" customFormat="1" x14ac:dyDescent="0.25">
      <c r="A7" s="4"/>
      <c r="B7" s="362"/>
      <c r="C7" s="363"/>
      <c r="D7" s="364" t="s">
        <v>187</v>
      </c>
      <c r="E7" s="365" t="s">
        <v>188</v>
      </c>
      <c r="F7" s="364" t="s">
        <v>495</v>
      </c>
      <c r="G7" s="366"/>
      <c r="H7" s="4"/>
    </row>
    <row r="8" spans="1:11" s="1" customFormat="1" x14ac:dyDescent="0.25">
      <c r="A8" s="4" t="s">
        <v>5</v>
      </c>
      <c r="B8" s="367" t="s">
        <v>453</v>
      </c>
      <c r="D8" s="269" t="s">
        <v>180</v>
      </c>
      <c r="E8" s="269" t="s">
        <v>496</v>
      </c>
      <c r="F8" s="269" t="s">
        <v>180</v>
      </c>
      <c r="G8" s="368"/>
      <c r="H8" s="4" t="s">
        <v>5</v>
      </c>
    </row>
    <row r="9" spans="1:11" s="1" customFormat="1" x14ac:dyDescent="0.25">
      <c r="A9" s="4" t="s">
        <v>6</v>
      </c>
      <c r="B9" s="369" t="s">
        <v>497</v>
      </c>
      <c r="C9" s="927" t="s">
        <v>311</v>
      </c>
      <c r="D9" s="274" t="s">
        <v>498</v>
      </c>
      <c r="E9" s="274" t="s">
        <v>499</v>
      </c>
      <c r="F9" s="274" t="s">
        <v>500</v>
      </c>
      <c r="G9" s="370" t="s">
        <v>8</v>
      </c>
      <c r="H9" s="4" t="s">
        <v>6</v>
      </c>
    </row>
    <row r="10" spans="1:11" s="1" customFormat="1" x14ac:dyDescent="0.25">
      <c r="A10" s="4"/>
      <c r="B10" s="371"/>
      <c r="C10" s="372" t="s">
        <v>501</v>
      </c>
      <c r="D10" s="981"/>
      <c r="E10" s="981"/>
      <c r="F10" s="981"/>
      <c r="G10" s="373"/>
      <c r="H10" s="4"/>
      <c r="J10" s="31"/>
      <c r="K10" s="31"/>
    </row>
    <row r="11" spans="1:11" s="1" customFormat="1" x14ac:dyDescent="0.25">
      <c r="A11" s="4">
        <v>1</v>
      </c>
      <c r="B11" s="374">
        <v>560</v>
      </c>
      <c r="C11" s="31" t="s">
        <v>502</v>
      </c>
      <c r="D11" s="231">
        <v>16350.804</v>
      </c>
      <c r="E11" s="231">
        <f>E47+E48+E49+E50</f>
        <v>6603.1369999999997</v>
      </c>
      <c r="F11" s="231">
        <f t="shared" ref="F11:F25" si="0">D11-E11</f>
        <v>9747.6670000000013</v>
      </c>
      <c r="G11" s="375" t="s">
        <v>503</v>
      </c>
      <c r="H11" s="4">
        <f>A11</f>
        <v>1</v>
      </c>
      <c r="J11" s="31"/>
      <c r="K11" s="31"/>
    </row>
    <row r="12" spans="1:11" s="1" customFormat="1" x14ac:dyDescent="0.25">
      <c r="A12" s="4">
        <f>A11+1</f>
        <v>2</v>
      </c>
      <c r="B12" s="374">
        <v>561.1</v>
      </c>
      <c r="C12" s="31" t="s">
        <v>504</v>
      </c>
      <c r="D12" s="232">
        <v>589.39499999999998</v>
      </c>
      <c r="E12" s="232">
        <v>0</v>
      </c>
      <c r="F12" s="232">
        <f t="shared" si="0"/>
        <v>589.39499999999998</v>
      </c>
      <c r="G12" s="375" t="s">
        <v>505</v>
      </c>
      <c r="H12" s="4">
        <f>H11+1</f>
        <v>2</v>
      </c>
      <c r="J12" s="31"/>
      <c r="K12" s="31"/>
    </row>
    <row r="13" spans="1:11" s="1" customFormat="1" x14ac:dyDescent="0.25">
      <c r="A13" s="4">
        <f t="shared" ref="A13:A69" si="1">A12+1</f>
        <v>3</v>
      </c>
      <c r="B13" s="374">
        <v>561.20000000000005</v>
      </c>
      <c r="C13" s="31" t="s">
        <v>506</v>
      </c>
      <c r="D13" s="232">
        <v>1790.047</v>
      </c>
      <c r="E13" s="232">
        <v>0</v>
      </c>
      <c r="F13" s="232">
        <f t="shared" si="0"/>
        <v>1790.047</v>
      </c>
      <c r="G13" s="375" t="s">
        <v>507</v>
      </c>
      <c r="H13" s="4">
        <f t="shared" ref="H13:H69" si="2">H12+1</f>
        <v>3</v>
      </c>
      <c r="J13" s="31"/>
      <c r="K13" s="31"/>
    </row>
    <row r="14" spans="1:11" s="1" customFormat="1" x14ac:dyDescent="0.25">
      <c r="A14" s="4">
        <f t="shared" si="1"/>
        <v>4</v>
      </c>
      <c r="B14" s="374">
        <v>561.29999999999995</v>
      </c>
      <c r="C14" s="31" t="s">
        <v>508</v>
      </c>
      <c r="D14" s="232">
        <v>407.45699999999999</v>
      </c>
      <c r="E14" s="232">
        <v>0</v>
      </c>
      <c r="F14" s="232">
        <f t="shared" si="0"/>
        <v>407.45699999999999</v>
      </c>
      <c r="G14" s="375" t="s">
        <v>509</v>
      </c>
      <c r="H14" s="4">
        <f t="shared" si="2"/>
        <v>4</v>
      </c>
      <c r="J14" s="31"/>
      <c r="K14" s="31"/>
    </row>
    <row r="15" spans="1:11" s="1" customFormat="1" ht="17.25" customHeight="1" x14ac:dyDescent="0.25">
      <c r="A15" s="4">
        <f t="shared" si="1"/>
        <v>5</v>
      </c>
      <c r="B15" s="374">
        <v>561.4</v>
      </c>
      <c r="C15" s="31" t="s">
        <v>510</v>
      </c>
      <c r="D15" s="232">
        <v>2615.1480000000001</v>
      </c>
      <c r="E15" s="6">
        <f>E51</f>
        <v>2615.1482700000001</v>
      </c>
      <c r="F15" s="232">
        <f t="shared" si="0"/>
        <v>-2.7000000000043656E-4</v>
      </c>
      <c r="G15" s="375" t="s">
        <v>511</v>
      </c>
      <c r="H15" s="4">
        <f t="shared" si="2"/>
        <v>5</v>
      </c>
      <c r="J15" s="31"/>
      <c r="K15" s="31"/>
    </row>
    <row r="16" spans="1:11" s="1" customFormat="1" x14ac:dyDescent="0.25">
      <c r="A16" s="4">
        <f t="shared" si="1"/>
        <v>6</v>
      </c>
      <c r="B16" s="374">
        <v>561.5</v>
      </c>
      <c r="C16" s="31" t="s">
        <v>512</v>
      </c>
      <c r="D16" s="232">
        <v>104.676</v>
      </c>
      <c r="E16" s="232">
        <v>0</v>
      </c>
      <c r="F16" s="232">
        <f t="shared" si="0"/>
        <v>104.676</v>
      </c>
      <c r="G16" s="375" t="s">
        <v>513</v>
      </c>
      <c r="H16" s="4">
        <f t="shared" si="2"/>
        <v>6</v>
      </c>
      <c r="J16" s="31"/>
      <c r="K16" s="31"/>
    </row>
    <row r="17" spans="1:11" s="1" customFormat="1" x14ac:dyDescent="0.25">
      <c r="A17" s="4">
        <f t="shared" si="1"/>
        <v>7</v>
      </c>
      <c r="B17" s="374">
        <v>561.6</v>
      </c>
      <c r="C17" s="31" t="s">
        <v>514</v>
      </c>
      <c r="D17" s="232">
        <v>0</v>
      </c>
      <c r="E17" s="232">
        <v>0</v>
      </c>
      <c r="F17" s="232">
        <f t="shared" si="0"/>
        <v>0</v>
      </c>
      <c r="G17" s="375" t="s">
        <v>515</v>
      </c>
      <c r="H17" s="4">
        <f t="shared" si="2"/>
        <v>7</v>
      </c>
      <c r="J17" s="31"/>
      <c r="K17" s="31"/>
    </row>
    <row r="18" spans="1:11" s="1" customFormat="1" x14ac:dyDescent="0.25">
      <c r="A18" s="4">
        <f t="shared" si="1"/>
        <v>8</v>
      </c>
      <c r="B18" s="374">
        <v>561.70000000000005</v>
      </c>
      <c r="C18" s="31" t="s">
        <v>516</v>
      </c>
      <c r="D18" s="232">
        <v>0</v>
      </c>
      <c r="E18" s="232">
        <v>0</v>
      </c>
      <c r="F18" s="232">
        <f t="shared" si="0"/>
        <v>0</v>
      </c>
      <c r="G18" s="982" t="s">
        <v>517</v>
      </c>
      <c r="H18" s="4">
        <f t="shared" si="2"/>
        <v>8</v>
      </c>
      <c r="J18" s="31"/>
      <c r="K18" s="31"/>
    </row>
    <row r="19" spans="1:11" s="1" customFormat="1" x14ac:dyDescent="0.25">
      <c r="A19" s="4">
        <f t="shared" si="1"/>
        <v>9</v>
      </c>
      <c r="B19" s="374">
        <v>561.79999999999995</v>
      </c>
      <c r="C19" s="31" t="s">
        <v>518</v>
      </c>
      <c r="D19" s="232">
        <v>2283.1880000000001</v>
      </c>
      <c r="E19" s="6">
        <f>E52</f>
        <v>1345.1913</v>
      </c>
      <c r="F19" s="232">
        <f t="shared" si="0"/>
        <v>937.99670000000015</v>
      </c>
      <c r="G19" s="982" t="s">
        <v>519</v>
      </c>
      <c r="H19" s="4">
        <f t="shared" si="2"/>
        <v>9</v>
      </c>
      <c r="J19" s="31"/>
      <c r="K19" s="31"/>
    </row>
    <row r="20" spans="1:11" s="1" customFormat="1" ht="15" customHeight="1" x14ac:dyDescent="0.25">
      <c r="A20" s="4">
        <f t="shared" si="1"/>
        <v>10</v>
      </c>
      <c r="B20" s="374">
        <v>562</v>
      </c>
      <c r="C20" s="31" t="s">
        <v>520</v>
      </c>
      <c r="D20" s="232">
        <v>10741.927</v>
      </c>
      <c r="E20" s="232">
        <v>0</v>
      </c>
      <c r="F20" s="232">
        <f t="shared" si="0"/>
        <v>10741.927</v>
      </c>
      <c r="G20" s="982" t="s">
        <v>521</v>
      </c>
      <c r="H20" s="4">
        <f t="shared" si="2"/>
        <v>10</v>
      </c>
      <c r="J20" s="31"/>
      <c r="K20" s="31"/>
    </row>
    <row r="21" spans="1:11" s="1" customFormat="1" x14ac:dyDescent="0.25">
      <c r="A21" s="4">
        <f t="shared" si="1"/>
        <v>11</v>
      </c>
      <c r="B21" s="374">
        <v>563</v>
      </c>
      <c r="C21" s="31" t="s">
        <v>522</v>
      </c>
      <c r="D21" s="232">
        <v>7985.0609999999997</v>
      </c>
      <c r="E21" s="232">
        <v>0</v>
      </c>
      <c r="F21" s="232">
        <f t="shared" si="0"/>
        <v>7985.0609999999997</v>
      </c>
      <c r="G21" s="982" t="s">
        <v>523</v>
      </c>
      <c r="H21" s="4">
        <f t="shared" si="2"/>
        <v>11</v>
      </c>
      <c r="J21" s="31"/>
      <c r="K21" s="31"/>
    </row>
    <row r="22" spans="1:11" s="1" customFormat="1" x14ac:dyDescent="0.25">
      <c r="A22" s="4">
        <f>A21+1</f>
        <v>12</v>
      </c>
      <c r="B22" s="374">
        <v>564</v>
      </c>
      <c r="C22" s="31" t="s">
        <v>524</v>
      </c>
      <c r="D22" s="232">
        <v>0</v>
      </c>
      <c r="E22" s="232">
        <v>0</v>
      </c>
      <c r="F22" s="232">
        <f t="shared" si="0"/>
        <v>0</v>
      </c>
      <c r="G22" s="982" t="s">
        <v>525</v>
      </c>
      <c r="H22" s="4">
        <f>H21+1</f>
        <v>12</v>
      </c>
      <c r="J22" s="31"/>
      <c r="K22" s="31"/>
    </row>
    <row r="23" spans="1:11" s="1" customFormat="1" x14ac:dyDescent="0.25">
      <c r="A23" s="4">
        <f t="shared" si="1"/>
        <v>13</v>
      </c>
      <c r="B23" s="374">
        <v>565</v>
      </c>
      <c r="C23" s="31" t="s">
        <v>526</v>
      </c>
      <c r="D23" s="232">
        <v>0</v>
      </c>
      <c r="E23" s="232">
        <v>0</v>
      </c>
      <c r="F23" s="232">
        <f t="shared" si="0"/>
        <v>0</v>
      </c>
      <c r="G23" s="982" t="s">
        <v>527</v>
      </c>
      <c r="H23" s="4">
        <f t="shared" si="2"/>
        <v>13</v>
      </c>
      <c r="J23" s="31"/>
      <c r="K23" s="31"/>
    </row>
    <row r="24" spans="1:11" s="1" customFormat="1" x14ac:dyDescent="0.25">
      <c r="A24" s="4">
        <f t="shared" si="1"/>
        <v>14</v>
      </c>
      <c r="B24" s="374">
        <v>566</v>
      </c>
      <c r="C24" s="31" t="s">
        <v>528</v>
      </c>
      <c r="D24" s="232">
        <v>5249.6149999999998</v>
      </c>
      <c r="E24" s="6">
        <f>E58</f>
        <v>-7133.1540700000005</v>
      </c>
      <c r="F24" s="232">
        <f t="shared" si="0"/>
        <v>12382.76907</v>
      </c>
      <c r="G24" s="982" t="s">
        <v>529</v>
      </c>
      <c r="H24" s="4">
        <f t="shared" si="2"/>
        <v>14</v>
      </c>
      <c r="J24" s="31"/>
      <c r="K24" s="31"/>
    </row>
    <row r="25" spans="1:11" s="1" customFormat="1" x14ac:dyDescent="0.25">
      <c r="A25" s="4">
        <f>A24+1</f>
        <v>15</v>
      </c>
      <c r="B25" s="374">
        <v>567</v>
      </c>
      <c r="C25" s="31" t="s">
        <v>530</v>
      </c>
      <c r="D25" s="93">
        <v>3976.8820000000001</v>
      </c>
      <c r="E25" s="93">
        <v>0</v>
      </c>
      <c r="F25" s="93">
        <f t="shared" si="0"/>
        <v>3976.8820000000001</v>
      </c>
      <c r="G25" s="982" t="s">
        <v>531</v>
      </c>
      <c r="H25" s="4">
        <f t="shared" si="2"/>
        <v>15</v>
      </c>
      <c r="J25" s="31"/>
      <c r="K25" s="31"/>
    </row>
    <row r="26" spans="1:11" s="1" customFormat="1" x14ac:dyDescent="0.25">
      <c r="A26" s="4">
        <f>A25+1</f>
        <v>16</v>
      </c>
      <c r="B26" s="374"/>
      <c r="C26" s="31"/>
      <c r="D26" s="232"/>
      <c r="E26" s="6"/>
      <c r="F26" s="232"/>
      <c r="G26" s="375"/>
      <c r="H26" s="4">
        <f>H25+1</f>
        <v>16</v>
      </c>
      <c r="J26" s="31"/>
      <c r="K26" s="31"/>
    </row>
    <row r="27" spans="1:11" s="1" customFormat="1" ht="16.5" thickBot="1" x14ac:dyDescent="0.3">
      <c r="A27" s="4">
        <f>A26+1</f>
        <v>17</v>
      </c>
      <c r="B27" s="376"/>
      <c r="C27" s="983" t="s">
        <v>532</v>
      </c>
      <c r="D27" s="96">
        <f>SUM(D11:D25)</f>
        <v>52094.19999999999</v>
      </c>
      <c r="E27" s="984">
        <f>SUM(E11:E25)</f>
        <v>3430.3225000000002</v>
      </c>
      <c r="F27" s="96">
        <f>SUM(F11:F25)</f>
        <v>48663.877500000002</v>
      </c>
      <c r="G27" s="985" t="str">
        <f>"Sum Lines "&amp;A11&amp;" thru "&amp;A25</f>
        <v>Sum Lines 1 thru 15</v>
      </c>
      <c r="H27" s="4">
        <f>H26+1</f>
        <v>17</v>
      </c>
      <c r="J27" s="31"/>
      <c r="K27" s="31"/>
    </row>
    <row r="28" spans="1:11" s="1" customFormat="1" x14ac:dyDescent="0.25">
      <c r="A28" s="4">
        <f t="shared" si="1"/>
        <v>18</v>
      </c>
      <c r="B28" s="377"/>
      <c r="C28" s="31"/>
      <c r="D28" s="986"/>
      <c r="E28" s="97"/>
      <c r="F28" s="986"/>
      <c r="G28" s="982"/>
      <c r="H28" s="4">
        <f t="shared" si="2"/>
        <v>18</v>
      </c>
      <c r="J28" s="31"/>
      <c r="K28" s="31"/>
    </row>
    <row r="29" spans="1:11" s="1" customFormat="1" x14ac:dyDescent="0.25">
      <c r="A29" s="4">
        <f t="shared" si="1"/>
        <v>19</v>
      </c>
      <c r="B29" s="371"/>
      <c r="C29" s="372" t="s">
        <v>533</v>
      </c>
      <c r="D29" s="986"/>
      <c r="E29" s="97"/>
      <c r="F29" s="986"/>
      <c r="G29" s="982"/>
      <c r="H29" s="4">
        <f t="shared" si="2"/>
        <v>19</v>
      </c>
      <c r="J29" s="31"/>
      <c r="K29" s="31"/>
    </row>
    <row r="30" spans="1:11" s="1" customFormat="1" x14ac:dyDescent="0.25">
      <c r="A30" s="4">
        <f t="shared" si="1"/>
        <v>20</v>
      </c>
      <c r="B30" s="374">
        <v>568</v>
      </c>
      <c r="C30" s="31" t="s">
        <v>534</v>
      </c>
      <c r="D30" s="231">
        <v>3327.1379999999999</v>
      </c>
      <c r="E30" s="231">
        <v>0</v>
      </c>
      <c r="F30" s="231">
        <f t="shared" ref="F30:F39" si="3">D30-E30</f>
        <v>3327.1379999999999</v>
      </c>
      <c r="G30" s="982" t="s">
        <v>535</v>
      </c>
      <c r="H30" s="4">
        <f t="shared" si="2"/>
        <v>20</v>
      </c>
      <c r="J30" s="31"/>
      <c r="K30" s="31"/>
    </row>
    <row r="31" spans="1:11" s="1" customFormat="1" x14ac:dyDescent="0.25">
      <c r="A31" s="4">
        <f t="shared" si="1"/>
        <v>21</v>
      </c>
      <c r="B31" s="374">
        <v>569</v>
      </c>
      <c r="C31" s="31" t="s">
        <v>536</v>
      </c>
      <c r="D31" s="232">
        <v>392.358</v>
      </c>
      <c r="E31" s="6">
        <v>0</v>
      </c>
      <c r="F31" s="232">
        <f t="shared" si="3"/>
        <v>392.358</v>
      </c>
      <c r="G31" s="982" t="s">
        <v>537</v>
      </c>
      <c r="H31" s="4">
        <f t="shared" si="2"/>
        <v>21</v>
      </c>
      <c r="J31" s="31"/>
      <c r="K31" s="31"/>
    </row>
    <row r="32" spans="1:11" s="1" customFormat="1" x14ac:dyDescent="0.25">
      <c r="A32" s="4">
        <f t="shared" si="1"/>
        <v>22</v>
      </c>
      <c r="B32" s="374">
        <v>569.1</v>
      </c>
      <c r="C32" s="31" t="s">
        <v>538</v>
      </c>
      <c r="D32" s="232">
        <v>1025.991</v>
      </c>
      <c r="E32" s="6">
        <v>0</v>
      </c>
      <c r="F32" s="232">
        <f t="shared" si="3"/>
        <v>1025.991</v>
      </c>
      <c r="G32" s="982" t="s">
        <v>539</v>
      </c>
      <c r="H32" s="4">
        <f t="shared" si="2"/>
        <v>22</v>
      </c>
      <c r="J32" s="31"/>
      <c r="K32" s="31"/>
    </row>
    <row r="33" spans="1:11" s="1" customFormat="1" x14ac:dyDescent="0.25">
      <c r="A33" s="4">
        <f t="shared" si="1"/>
        <v>23</v>
      </c>
      <c r="B33" s="374">
        <v>569.20000000000005</v>
      </c>
      <c r="C33" s="31" t="s">
        <v>540</v>
      </c>
      <c r="D33" s="232">
        <v>3226.54</v>
      </c>
      <c r="E33" s="6">
        <v>0</v>
      </c>
      <c r="F33" s="232">
        <f t="shared" si="3"/>
        <v>3226.54</v>
      </c>
      <c r="G33" s="982" t="s">
        <v>541</v>
      </c>
      <c r="H33" s="4">
        <f t="shared" si="2"/>
        <v>23</v>
      </c>
      <c r="J33" s="31"/>
      <c r="K33" s="31"/>
    </row>
    <row r="34" spans="1:11" s="1" customFormat="1" x14ac:dyDescent="0.25">
      <c r="A34" s="4">
        <f t="shared" si="1"/>
        <v>24</v>
      </c>
      <c r="B34" s="374">
        <v>569.29999999999995</v>
      </c>
      <c r="C34" s="31" t="s">
        <v>542</v>
      </c>
      <c r="D34" s="232">
        <v>5.5E-2</v>
      </c>
      <c r="E34" s="6">
        <v>0</v>
      </c>
      <c r="F34" s="232">
        <f t="shared" si="3"/>
        <v>5.5E-2</v>
      </c>
      <c r="G34" s="982" t="s">
        <v>543</v>
      </c>
      <c r="H34" s="4">
        <f t="shared" si="2"/>
        <v>24</v>
      </c>
      <c r="J34" s="31"/>
      <c r="K34" s="31"/>
    </row>
    <row r="35" spans="1:11" s="1" customFormat="1" x14ac:dyDescent="0.25">
      <c r="A35" s="4">
        <f t="shared" si="1"/>
        <v>25</v>
      </c>
      <c r="B35" s="374">
        <v>569.4</v>
      </c>
      <c r="C35" s="31" t="s">
        <v>544</v>
      </c>
      <c r="D35" s="232">
        <v>131.63300000000001</v>
      </c>
      <c r="E35" s="6">
        <v>0</v>
      </c>
      <c r="F35" s="232">
        <f t="shared" si="3"/>
        <v>131.63300000000001</v>
      </c>
      <c r="G35" s="982" t="s">
        <v>545</v>
      </c>
      <c r="H35" s="4">
        <f t="shared" si="2"/>
        <v>25</v>
      </c>
      <c r="J35" s="31"/>
      <c r="K35" s="31"/>
    </row>
    <row r="36" spans="1:11" s="1" customFormat="1" x14ac:dyDescent="0.25">
      <c r="A36" s="4">
        <f t="shared" si="1"/>
        <v>26</v>
      </c>
      <c r="B36" s="374">
        <v>570</v>
      </c>
      <c r="C36" s="31" t="s">
        <v>546</v>
      </c>
      <c r="D36" s="232">
        <v>20255.937000000002</v>
      </c>
      <c r="E36" s="6">
        <v>0</v>
      </c>
      <c r="F36" s="232">
        <f t="shared" si="3"/>
        <v>20255.937000000002</v>
      </c>
      <c r="G36" s="982" t="s">
        <v>547</v>
      </c>
      <c r="H36" s="4">
        <f t="shared" si="2"/>
        <v>26</v>
      </c>
      <c r="J36" s="31"/>
      <c r="K36" s="31"/>
    </row>
    <row r="37" spans="1:11" s="1" customFormat="1" x14ac:dyDescent="0.25">
      <c r="A37" s="4">
        <f t="shared" si="1"/>
        <v>27</v>
      </c>
      <c r="B37" s="374">
        <v>571</v>
      </c>
      <c r="C37" s="31" t="s">
        <v>548</v>
      </c>
      <c r="D37" s="232">
        <v>27559.614000000001</v>
      </c>
      <c r="E37" s="6">
        <f>E59</f>
        <v>1657.70866</v>
      </c>
      <c r="F37" s="232">
        <f t="shared" si="3"/>
        <v>25901.905340000001</v>
      </c>
      <c r="G37" s="982" t="s">
        <v>549</v>
      </c>
      <c r="H37" s="4">
        <f t="shared" si="2"/>
        <v>27</v>
      </c>
      <c r="I37" s="2"/>
      <c r="J37" s="31"/>
      <c r="K37" s="31"/>
    </row>
    <row r="38" spans="1:11" s="1" customFormat="1" x14ac:dyDescent="0.25">
      <c r="A38" s="4">
        <f t="shared" si="1"/>
        <v>28</v>
      </c>
      <c r="B38" s="374">
        <v>572</v>
      </c>
      <c r="C38" s="31" t="s">
        <v>550</v>
      </c>
      <c r="D38" s="232">
        <v>1212.9069999999999</v>
      </c>
      <c r="E38" s="6">
        <v>0</v>
      </c>
      <c r="F38" s="232">
        <f t="shared" si="3"/>
        <v>1212.9069999999999</v>
      </c>
      <c r="G38" s="375" t="s">
        <v>551</v>
      </c>
      <c r="H38" s="4">
        <f t="shared" si="2"/>
        <v>28</v>
      </c>
      <c r="I38" s="2"/>
      <c r="J38" s="31"/>
      <c r="K38" s="31"/>
    </row>
    <row r="39" spans="1:11" s="1" customFormat="1" x14ac:dyDescent="0.25">
      <c r="A39" s="4">
        <f t="shared" si="1"/>
        <v>29</v>
      </c>
      <c r="B39" s="374">
        <v>573</v>
      </c>
      <c r="C39" s="31" t="s">
        <v>552</v>
      </c>
      <c r="D39" s="232">
        <v>-0.36599999999999999</v>
      </c>
      <c r="E39" s="93">
        <v>0</v>
      </c>
      <c r="F39" s="93">
        <f t="shared" si="3"/>
        <v>-0.36599999999999999</v>
      </c>
      <c r="G39" s="375" t="s">
        <v>553</v>
      </c>
      <c r="H39" s="4">
        <f t="shared" si="2"/>
        <v>29</v>
      </c>
      <c r="I39" s="3"/>
      <c r="J39" s="31"/>
      <c r="K39" s="31"/>
    </row>
    <row r="40" spans="1:11" s="1" customFormat="1" x14ac:dyDescent="0.25">
      <c r="A40" s="4">
        <f t="shared" si="1"/>
        <v>30</v>
      </c>
      <c r="B40" s="374"/>
      <c r="C40" s="31"/>
      <c r="D40" s="987"/>
      <c r="E40" s="6"/>
      <c r="F40" s="987"/>
      <c r="G40" s="375"/>
      <c r="H40" s="4">
        <f t="shared" si="2"/>
        <v>30</v>
      </c>
      <c r="J40" s="31"/>
      <c r="K40" s="31"/>
    </row>
    <row r="41" spans="1:11" s="1" customFormat="1" x14ac:dyDescent="0.25">
      <c r="A41" s="4">
        <f t="shared" si="1"/>
        <v>31</v>
      </c>
      <c r="B41" s="377"/>
      <c r="C41" s="258" t="s">
        <v>554</v>
      </c>
      <c r="D41" s="231">
        <f>SUM(D30:D39)</f>
        <v>57131.807000000001</v>
      </c>
      <c r="E41" s="231">
        <f>SUM(E30:E39)</f>
        <v>1657.70866</v>
      </c>
      <c r="F41" s="231">
        <f>SUM(F30:F39)</f>
        <v>55474.098339999997</v>
      </c>
      <c r="G41" s="375" t="str">
        <f>"Sum Lines "&amp;A30&amp;" thru "&amp;A39</f>
        <v>Sum Lines 20 thru 29</v>
      </c>
      <c r="H41" s="4">
        <f t="shared" si="2"/>
        <v>31</v>
      </c>
      <c r="J41" s="31"/>
      <c r="K41" s="31"/>
    </row>
    <row r="42" spans="1:11" s="1" customFormat="1" x14ac:dyDescent="0.25">
      <c r="A42" s="4">
        <f t="shared" si="1"/>
        <v>32</v>
      </c>
      <c r="B42" s="377"/>
      <c r="C42" s="31"/>
      <c r="D42" s="977"/>
      <c r="E42" s="977"/>
      <c r="F42" s="977"/>
      <c r="G42" s="375"/>
      <c r="H42" s="4">
        <f t="shared" si="2"/>
        <v>32</v>
      </c>
      <c r="J42" s="31"/>
      <c r="K42" s="31"/>
    </row>
    <row r="43" spans="1:11" s="1" customFormat="1" ht="16.5" thickBot="1" x14ac:dyDescent="0.3">
      <c r="A43" s="4">
        <f t="shared" si="1"/>
        <v>33</v>
      </c>
      <c r="B43" s="367"/>
      <c r="C43" s="1" t="s">
        <v>555</v>
      </c>
      <c r="D43" s="98">
        <f>D27+D41</f>
        <v>109226.00699999998</v>
      </c>
      <c r="E43" s="98">
        <f>+E27+E41</f>
        <v>5088.0311600000005</v>
      </c>
      <c r="F43" s="98">
        <f>+F27+F41</f>
        <v>104137.97584</v>
      </c>
      <c r="G43" s="375" t="str">
        <f>"Line "&amp;A27&amp;" + Line "&amp;A41</f>
        <v>Line 17 + Line 31</v>
      </c>
      <c r="H43" s="4">
        <f t="shared" si="2"/>
        <v>33</v>
      </c>
      <c r="J43" s="31"/>
      <c r="K43" s="31"/>
    </row>
    <row r="44" spans="1:11" ht="17.25" thickTop="1" thickBot="1" x14ac:dyDescent="0.3">
      <c r="A44" s="4">
        <f t="shared" si="1"/>
        <v>34</v>
      </c>
      <c r="B44" s="378"/>
      <c r="C44" s="862"/>
      <c r="D44" s="99"/>
      <c r="E44" s="99"/>
      <c r="F44" s="99"/>
      <c r="G44" s="195"/>
      <c r="H44" s="4">
        <f t="shared" si="2"/>
        <v>34</v>
      </c>
    </row>
    <row r="45" spans="1:11" x14ac:dyDescent="0.25">
      <c r="A45" s="4">
        <f t="shared" si="1"/>
        <v>35</v>
      </c>
      <c r="B45" s="379"/>
      <c r="D45" s="97"/>
      <c r="E45" s="97"/>
      <c r="F45" s="97"/>
      <c r="G45" s="380"/>
      <c r="H45" s="4">
        <f>H44+1</f>
        <v>35</v>
      </c>
    </row>
    <row r="46" spans="1:11" x14ac:dyDescent="0.25">
      <c r="A46" s="4">
        <f t="shared" si="1"/>
        <v>36</v>
      </c>
      <c r="B46" s="381" t="s">
        <v>556</v>
      </c>
      <c r="D46" s="97"/>
      <c r="E46" s="97"/>
      <c r="F46" s="97"/>
      <c r="G46" s="380"/>
      <c r="H46" s="4">
        <f t="shared" si="2"/>
        <v>36</v>
      </c>
    </row>
    <row r="47" spans="1:11" ht="18.75" x14ac:dyDescent="0.25">
      <c r="A47" s="4">
        <f t="shared" si="1"/>
        <v>37</v>
      </c>
      <c r="B47" s="379" t="s">
        <v>557</v>
      </c>
      <c r="C47" s="31" t="s">
        <v>1914</v>
      </c>
      <c r="D47" s="97"/>
      <c r="E47" s="35">
        <v>3457.027</v>
      </c>
      <c r="F47" s="97"/>
      <c r="G47" s="380"/>
      <c r="H47" s="4">
        <f t="shared" si="2"/>
        <v>37</v>
      </c>
      <c r="I47" s="1198"/>
      <c r="J47" s="1270"/>
      <c r="K47"/>
    </row>
    <row r="48" spans="1:11" ht="18.75" x14ac:dyDescent="0.25">
      <c r="A48" s="4">
        <f t="shared" si="1"/>
        <v>38</v>
      </c>
      <c r="B48" s="379"/>
      <c r="C48" s="31" t="s">
        <v>1915</v>
      </c>
      <c r="D48" s="97"/>
      <c r="E48" s="6">
        <v>1371.0930000000001</v>
      </c>
      <c r="F48" s="97"/>
      <c r="G48" s="380"/>
      <c r="H48" s="4">
        <f t="shared" si="2"/>
        <v>38</v>
      </c>
      <c r="I48" s="1210"/>
      <c r="J48"/>
      <c r="K48"/>
    </row>
    <row r="49" spans="1:12" ht="18.75" x14ac:dyDescent="0.25">
      <c r="A49" s="4">
        <f t="shared" si="1"/>
        <v>39</v>
      </c>
      <c r="B49" s="379"/>
      <c r="C49" s="31" t="s">
        <v>1916</v>
      </c>
      <c r="D49" s="97"/>
      <c r="E49" s="6">
        <v>279.017</v>
      </c>
      <c r="F49" s="97"/>
      <c r="G49" s="380"/>
      <c r="H49" s="4">
        <f t="shared" si="2"/>
        <v>39</v>
      </c>
      <c r="I49" s="1210"/>
      <c r="J49"/>
      <c r="K49"/>
    </row>
    <row r="50" spans="1:12" ht="18.75" x14ac:dyDescent="0.25">
      <c r="A50" s="4">
        <f t="shared" si="1"/>
        <v>40</v>
      </c>
      <c r="B50" s="379"/>
      <c r="C50" s="31" t="s">
        <v>1917</v>
      </c>
      <c r="D50" s="97"/>
      <c r="E50" s="6">
        <v>1496</v>
      </c>
      <c r="F50" s="97"/>
      <c r="G50" s="380"/>
      <c r="H50" s="4">
        <f t="shared" si="2"/>
        <v>40</v>
      </c>
      <c r="I50" s="1210"/>
      <c r="J50"/>
      <c r="K50"/>
    </row>
    <row r="51" spans="1:12" x14ac:dyDescent="0.25">
      <c r="A51" s="4">
        <f t="shared" si="1"/>
        <v>41</v>
      </c>
      <c r="B51" s="379" t="s">
        <v>558</v>
      </c>
      <c r="C51" s="31" t="s">
        <v>559</v>
      </c>
      <c r="D51" s="97"/>
      <c r="E51" s="6">
        <v>2615.1482700000001</v>
      </c>
      <c r="G51" s="380"/>
      <c r="H51" s="4">
        <f t="shared" si="2"/>
        <v>41</v>
      </c>
      <c r="I51" s="1210"/>
    </row>
    <row r="52" spans="1:12" x14ac:dyDescent="0.25">
      <c r="A52" s="4">
        <f t="shared" si="1"/>
        <v>42</v>
      </c>
      <c r="B52" s="379">
        <v>561.79999999999995</v>
      </c>
      <c r="C52" s="31" t="s">
        <v>560</v>
      </c>
      <c r="D52" s="97"/>
      <c r="E52" s="6">
        <v>1345.1913</v>
      </c>
      <c r="G52" s="380"/>
      <c r="H52" s="4">
        <f t="shared" si="2"/>
        <v>42</v>
      </c>
      <c r="I52" s="1210"/>
    </row>
    <row r="53" spans="1:12" x14ac:dyDescent="0.25">
      <c r="A53" s="4">
        <f t="shared" si="1"/>
        <v>43</v>
      </c>
      <c r="B53" s="379">
        <v>565</v>
      </c>
      <c r="C53" s="31" t="s">
        <v>561</v>
      </c>
      <c r="D53" s="97"/>
      <c r="E53" s="6">
        <v>0</v>
      </c>
      <c r="F53" s="100"/>
      <c r="G53" s="380"/>
      <c r="H53" s="4">
        <f t="shared" si="2"/>
        <v>43</v>
      </c>
      <c r="I53" s="1210"/>
    </row>
    <row r="54" spans="1:12" x14ac:dyDescent="0.25">
      <c r="A54" s="4">
        <f t="shared" si="1"/>
        <v>44</v>
      </c>
      <c r="B54" s="379" t="s">
        <v>562</v>
      </c>
      <c r="C54" s="31" t="s">
        <v>563</v>
      </c>
      <c r="D54" s="35">
        <v>0</v>
      </c>
      <c r="F54" s="97"/>
      <c r="G54" s="380"/>
      <c r="H54" s="4">
        <f t="shared" si="2"/>
        <v>44</v>
      </c>
      <c r="I54" s="1210"/>
    </row>
    <row r="55" spans="1:12" x14ac:dyDescent="0.25">
      <c r="A55" s="4">
        <f t="shared" si="1"/>
        <v>45</v>
      </c>
      <c r="B55" s="379"/>
      <c r="C55" s="31" t="s">
        <v>564</v>
      </c>
      <c r="D55" s="6">
        <v>0</v>
      </c>
      <c r="F55" s="97"/>
      <c r="G55" s="380"/>
      <c r="H55" s="4">
        <f t="shared" si="2"/>
        <v>45</v>
      </c>
      <c r="I55" s="1210"/>
    </row>
    <row r="56" spans="1:12" x14ac:dyDescent="0.25">
      <c r="A56" s="4">
        <f t="shared" si="1"/>
        <v>46</v>
      </c>
      <c r="B56" s="379"/>
      <c r="C56" s="31" t="s">
        <v>565</v>
      </c>
      <c r="D56" s="6">
        <v>482.14753000000002</v>
      </c>
      <c r="F56" s="97"/>
      <c r="G56" s="380"/>
      <c r="H56" s="4">
        <f t="shared" si="2"/>
        <v>46</v>
      </c>
      <c r="I56" s="1210"/>
      <c r="K56" s="1162"/>
      <c r="L56"/>
    </row>
    <row r="57" spans="1:12" x14ac:dyDescent="0.25">
      <c r="A57" s="4">
        <f t="shared" si="1"/>
        <v>47</v>
      </c>
      <c r="B57" s="379"/>
      <c r="C57" s="31" t="s">
        <v>566</v>
      </c>
      <c r="D57" s="6">
        <v>453.22032000000002</v>
      </c>
      <c r="F57" s="97"/>
      <c r="G57" s="380"/>
      <c r="H57" s="4">
        <f t="shared" si="2"/>
        <v>47</v>
      </c>
      <c r="I57" s="1210"/>
      <c r="K57" s="438"/>
      <c r="L57"/>
    </row>
    <row r="58" spans="1:12" x14ac:dyDescent="0.25">
      <c r="A58" s="4">
        <f t="shared" si="1"/>
        <v>48</v>
      </c>
      <c r="B58" s="379"/>
      <c r="C58" s="31" t="s">
        <v>567</v>
      </c>
      <c r="D58" s="875">
        <v>-8068.5219200000001</v>
      </c>
      <c r="E58" s="914">
        <f>SUM(D54:D58)</f>
        <v>-7133.1540700000005</v>
      </c>
      <c r="F58" s="100"/>
      <c r="G58" s="380"/>
      <c r="H58" s="4">
        <f t="shared" si="2"/>
        <v>48</v>
      </c>
      <c r="I58" s="1210"/>
      <c r="J58" s="680"/>
      <c r="K58"/>
      <c r="L58" s="5"/>
    </row>
    <row r="59" spans="1:12" x14ac:dyDescent="0.25">
      <c r="A59" s="4">
        <f t="shared" si="1"/>
        <v>49</v>
      </c>
      <c r="B59" s="379" t="s">
        <v>2082</v>
      </c>
      <c r="C59" s="31" t="s">
        <v>2083</v>
      </c>
      <c r="D59" s="1269"/>
      <c r="E59" s="6">
        <v>1657.70866</v>
      </c>
      <c r="F59" s="100"/>
      <c r="G59" s="380"/>
      <c r="H59" s="4">
        <f t="shared" si="2"/>
        <v>49</v>
      </c>
      <c r="I59" s="1210"/>
      <c r="J59" s="680"/>
      <c r="K59"/>
      <c r="L59" s="5"/>
    </row>
    <row r="60" spans="1:12" x14ac:dyDescent="0.25">
      <c r="A60" s="4">
        <f t="shared" si="1"/>
        <v>50</v>
      </c>
      <c r="B60" s="379"/>
      <c r="D60" s="6"/>
      <c r="F60" s="97"/>
      <c r="G60" s="380"/>
      <c r="H60" s="4">
        <f t="shared" si="2"/>
        <v>50</v>
      </c>
      <c r="I60" s="1210"/>
    </row>
    <row r="61" spans="1:12" ht="16.5" thickBot="1" x14ac:dyDescent="0.3">
      <c r="A61" s="4">
        <f t="shared" si="1"/>
        <v>51</v>
      </c>
      <c r="B61" s="382"/>
      <c r="C61" s="1" t="s">
        <v>568</v>
      </c>
      <c r="D61" s="97"/>
      <c r="E61" s="101">
        <f>SUM(E47:E60)</f>
        <v>5088.0311600000005</v>
      </c>
      <c r="F61" s="97"/>
      <c r="G61" s="380"/>
      <c r="H61" s="4">
        <f t="shared" si="2"/>
        <v>51</v>
      </c>
      <c r="I61" s="1210"/>
    </row>
    <row r="62" spans="1:12" ht="16.5" thickTop="1" x14ac:dyDescent="0.25">
      <c r="A62" s="4">
        <f t="shared" si="1"/>
        <v>52</v>
      </c>
      <c r="B62" s="382"/>
      <c r="C62" s="1"/>
      <c r="D62" s="97"/>
      <c r="E62" s="43"/>
      <c r="F62" s="97"/>
      <c r="G62" s="380"/>
      <c r="H62" s="4">
        <f t="shared" si="2"/>
        <v>52</v>
      </c>
      <c r="I62" s="1210"/>
    </row>
    <row r="63" spans="1:12" ht="18.75" x14ac:dyDescent="0.25">
      <c r="A63" s="4">
        <f t="shared" si="1"/>
        <v>53</v>
      </c>
      <c r="B63" s="405">
        <v>1</v>
      </c>
      <c r="C63" s="1092" t="s">
        <v>1918</v>
      </c>
      <c r="D63" s="97"/>
      <c r="E63" s="43"/>
      <c r="F63" s="97"/>
      <c r="G63" s="380"/>
      <c r="H63" s="4">
        <f t="shared" si="2"/>
        <v>53</v>
      </c>
      <c r="I63" s="1210"/>
    </row>
    <row r="64" spans="1:12" ht="16.5" thickBot="1" x14ac:dyDescent="0.3">
      <c r="A64" s="4">
        <f t="shared" si="1"/>
        <v>54</v>
      </c>
      <c r="B64" s="383"/>
      <c r="C64" s="862"/>
      <c r="D64" s="862"/>
      <c r="E64" s="892"/>
      <c r="F64" s="862"/>
      <c r="G64" s="195"/>
      <c r="H64" s="4">
        <f t="shared" si="2"/>
        <v>54</v>
      </c>
      <c r="I64" s="1210"/>
    </row>
    <row r="65" spans="1:9" x14ac:dyDescent="0.25">
      <c r="A65" s="4">
        <f t="shared" si="1"/>
        <v>55</v>
      </c>
      <c r="B65" s="1247"/>
      <c r="C65" s="561"/>
      <c r="D65" s="561"/>
      <c r="E65" s="1248"/>
      <c r="F65" s="561"/>
      <c r="G65" s="563"/>
      <c r="H65" s="4">
        <f t="shared" si="2"/>
        <v>55</v>
      </c>
      <c r="I65" s="1210"/>
    </row>
    <row r="66" spans="1:9" x14ac:dyDescent="0.25">
      <c r="A66" s="4">
        <f t="shared" si="1"/>
        <v>56</v>
      </c>
      <c r="B66" s="379"/>
      <c r="C66" s="31" t="s">
        <v>1913</v>
      </c>
      <c r="F66" s="1249">
        <f>'AD-6'!F34</f>
        <v>0.97930950460775268</v>
      </c>
      <c r="G66" s="368" t="s">
        <v>1827</v>
      </c>
      <c r="H66" s="4">
        <f t="shared" si="2"/>
        <v>56</v>
      </c>
      <c r="I66" s="1210"/>
    </row>
    <row r="67" spans="1:9" x14ac:dyDescent="0.25">
      <c r="A67" s="4">
        <f t="shared" si="1"/>
        <v>57</v>
      </c>
      <c r="B67" s="379"/>
      <c r="C67" s="31" t="s">
        <v>1807</v>
      </c>
      <c r="F67" s="35">
        <f>F43*F66</f>
        <v>101983.30953072451</v>
      </c>
      <c r="G67" s="368" t="s">
        <v>1958</v>
      </c>
      <c r="H67" s="4">
        <f t="shared" si="2"/>
        <v>57</v>
      </c>
      <c r="I67" s="1210"/>
    </row>
    <row r="68" spans="1:9" ht="16.5" thickBot="1" x14ac:dyDescent="0.3">
      <c r="A68" s="4">
        <f t="shared" si="1"/>
        <v>58</v>
      </c>
      <c r="B68" s="379"/>
      <c r="C68" s="32" t="s">
        <v>1880</v>
      </c>
      <c r="F68" s="95">
        <f>F43-F67</f>
        <v>2154.6663092754898</v>
      </c>
      <c r="G68" s="368" t="s">
        <v>1959</v>
      </c>
      <c r="H68" s="4">
        <f t="shared" si="2"/>
        <v>58</v>
      </c>
      <c r="I68" s="1210"/>
    </row>
    <row r="69" spans="1:9" ht="17.25" thickTop="1" thickBot="1" x14ac:dyDescent="0.3">
      <c r="A69" s="4">
        <f t="shared" si="1"/>
        <v>59</v>
      </c>
      <c r="B69" s="383"/>
      <c r="C69" s="862"/>
      <c r="D69" s="862"/>
      <c r="E69" s="892"/>
      <c r="F69" s="862"/>
      <c r="G69" s="195"/>
      <c r="H69" s="4">
        <f t="shared" si="2"/>
        <v>59</v>
      </c>
    </row>
    <row r="70" spans="1:9" x14ac:dyDescent="0.25">
      <c r="B70" s="384"/>
    </row>
    <row r="71" spans="1:9" x14ac:dyDescent="0.25">
      <c r="B71" s="384"/>
    </row>
    <row r="72" spans="1:9" x14ac:dyDescent="0.25">
      <c r="B72" s="384"/>
    </row>
    <row r="73" spans="1:9" x14ac:dyDescent="0.25">
      <c r="B73" s="384"/>
    </row>
    <row r="74" spans="1:9" x14ac:dyDescent="0.25">
      <c r="B74" s="384"/>
    </row>
    <row r="75" spans="1:9" x14ac:dyDescent="0.25">
      <c r="B75" s="384"/>
    </row>
    <row r="76" spans="1:9" x14ac:dyDescent="0.25">
      <c r="B76" s="384"/>
    </row>
    <row r="77" spans="1:9" x14ac:dyDescent="0.25">
      <c r="B77" s="384"/>
    </row>
    <row r="78" spans="1:9" x14ac:dyDescent="0.25">
      <c r="B78" s="384"/>
      <c r="E78" s="31"/>
    </row>
    <row r="79" spans="1:9" x14ac:dyDescent="0.25">
      <c r="B79" s="384"/>
      <c r="E79" s="31"/>
    </row>
    <row r="80" spans="1:9" x14ac:dyDescent="0.25">
      <c r="B80" s="384"/>
      <c r="E80" s="31"/>
    </row>
    <row r="81" spans="2:5" x14ac:dyDescent="0.25">
      <c r="B81" s="384"/>
      <c r="E81" s="31"/>
    </row>
    <row r="82" spans="2:5" x14ac:dyDescent="0.25">
      <c r="B82" s="384"/>
      <c r="E82" s="31"/>
    </row>
    <row r="83" spans="2:5" x14ac:dyDescent="0.25">
      <c r="B83" s="384"/>
      <c r="E83" s="31"/>
    </row>
    <row r="84" spans="2:5" x14ac:dyDescent="0.25">
      <c r="B84" s="384"/>
      <c r="E84" s="31"/>
    </row>
    <row r="85" spans="2:5" x14ac:dyDescent="0.25">
      <c r="B85" s="384"/>
      <c r="E85" s="31"/>
    </row>
    <row r="86" spans="2:5" x14ac:dyDescent="0.25">
      <c r="B86" s="384"/>
      <c r="E86" s="31"/>
    </row>
    <row r="87" spans="2:5" x14ac:dyDescent="0.25">
      <c r="B87" s="384"/>
      <c r="E87" s="31"/>
    </row>
    <row r="88" spans="2:5" x14ac:dyDescent="0.25">
      <c r="B88" s="384"/>
      <c r="E88" s="31"/>
    </row>
    <row r="89" spans="2:5" x14ac:dyDescent="0.25">
      <c r="B89" s="384"/>
      <c r="E89" s="31"/>
    </row>
    <row r="90" spans="2:5" x14ac:dyDescent="0.25">
      <c r="B90" s="384"/>
      <c r="E90" s="31"/>
    </row>
    <row r="91" spans="2:5" x14ac:dyDescent="0.25">
      <c r="B91" s="384"/>
      <c r="E91" s="31"/>
    </row>
    <row r="92" spans="2:5" x14ac:dyDescent="0.25">
      <c r="B92" s="384"/>
      <c r="E92" s="31"/>
    </row>
    <row r="93" spans="2:5" x14ac:dyDescent="0.25">
      <c r="B93" s="384"/>
      <c r="E93" s="31"/>
    </row>
    <row r="94" spans="2:5" x14ac:dyDescent="0.25">
      <c r="B94" s="384"/>
      <c r="E94" s="31"/>
    </row>
    <row r="95" spans="2:5" x14ac:dyDescent="0.25">
      <c r="B95" s="384"/>
      <c r="E95" s="31"/>
    </row>
    <row r="96" spans="2:5" x14ac:dyDescent="0.25">
      <c r="B96" s="384"/>
      <c r="E96" s="31"/>
    </row>
    <row r="97" spans="2:5" x14ac:dyDescent="0.25">
      <c r="B97" s="384"/>
      <c r="E97" s="31"/>
    </row>
    <row r="98" spans="2:5" x14ac:dyDescent="0.25">
      <c r="B98" s="384"/>
      <c r="E98" s="31"/>
    </row>
    <row r="99" spans="2:5" x14ac:dyDescent="0.25">
      <c r="B99" s="384"/>
      <c r="E99" s="31"/>
    </row>
    <row r="100" spans="2:5" x14ac:dyDescent="0.25">
      <c r="B100" s="384"/>
      <c r="E100" s="31"/>
    </row>
    <row r="101" spans="2:5" x14ac:dyDescent="0.25">
      <c r="B101" s="384"/>
      <c r="E101" s="31"/>
    </row>
    <row r="102" spans="2:5" x14ac:dyDescent="0.25">
      <c r="B102" s="384"/>
      <c r="E102" s="31"/>
    </row>
    <row r="103" spans="2:5" x14ac:dyDescent="0.25">
      <c r="B103" s="384"/>
      <c r="E103" s="31"/>
    </row>
    <row r="104" spans="2:5" x14ac:dyDescent="0.25">
      <c r="B104" s="384"/>
      <c r="E104" s="31"/>
    </row>
    <row r="105" spans="2:5" x14ac:dyDescent="0.25">
      <c r="B105" s="384"/>
      <c r="E105" s="31"/>
    </row>
    <row r="106" spans="2:5" x14ac:dyDescent="0.25">
      <c r="B106" s="384"/>
      <c r="E106" s="31"/>
    </row>
    <row r="107" spans="2:5" x14ac:dyDescent="0.25">
      <c r="B107" s="384"/>
      <c r="E107" s="31"/>
    </row>
    <row r="108" spans="2:5" x14ac:dyDescent="0.25">
      <c r="B108" s="384"/>
      <c r="E108" s="31"/>
    </row>
    <row r="109" spans="2:5" x14ac:dyDescent="0.25">
      <c r="B109" s="384"/>
      <c r="E109" s="31"/>
    </row>
    <row r="110" spans="2:5" x14ac:dyDescent="0.25">
      <c r="B110" s="384"/>
      <c r="E110" s="31"/>
    </row>
    <row r="111" spans="2:5" x14ac:dyDescent="0.25">
      <c r="B111" s="384"/>
      <c r="E111" s="31"/>
    </row>
    <row r="112" spans="2:5" x14ac:dyDescent="0.25">
      <c r="B112" s="384"/>
      <c r="E112" s="31"/>
    </row>
    <row r="113" spans="2:5" x14ac:dyDescent="0.25">
      <c r="B113" s="384"/>
      <c r="E113" s="31"/>
    </row>
    <row r="114" spans="2:5" x14ac:dyDescent="0.25">
      <c r="B114" s="384"/>
      <c r="E114" s="31"/>
    </row>
    <row r="115" spans="2:5" x14ac:dyDescent="0.25">
      <c r="B115" s="384"/>
      <c r="E115" s="31"/>
    </row>
    <row r="116" spans="2:5" x14ac:dyDescent="0.25">
      <c r="B116" s="384"/>
      <c r="E116" s="31"/>
    </row>
    <row r="117" spans="2:5" x14ac:dyDescent="0.25">
      <c r="B117" s="384"/>
      <c r="E117" s="31"/>
    </row>
    <row r="118" spans="2:5" x14ac:dyDescent="0.25">
      <c r="B118" s="384"/>
      <c r="E118" s="31"/>
    </row>
    <row r="119" spans="2:5" x14ac:dyDescent="0.25">
      <c r="B119" s="384"/>
      <c r="E119" s="31"/>
    </row>
    <row r="120" spans="2:5" x14ac:dyDescent="0.25">
      <c r="B120" s="384"/>
      <c r="E120" s="31"/>
    </row>
    <row r="121" spans="2:5" x14ac:dyDescent="0.25">
      <c r="B121" s="384"/>
      <c r="E121" s="31"/>
    </row>
    <row r="122" spans="2:5" x14ac:dyDescent="0.25">
      <c r="B122" s="384"/>
      <c r="E122" s="31"/>
    </row>
    <row r="123" spans="2:5" x14ac:dyDescent="0.25">
      <c r="B123" s="384"/>
      <c r="E123" s="31"/>
    </row>
    <row r="124" spans="2:5" x14ac:dyDescent="0.25">
      <c r="B124" s="384"/>
      <c r="E124" s="31"/>
    </row>
    <row r="125" spans="2:5" x14ac:dyDescent="0.25">
      <c r="B125" s="384"/>
      <c r="E125" s="31"/>
    </row>
    <row r="126" spans="2:5" x14ac:dyDescent="0.25">
      <c r="B126" s="384"/>
      <c r="E126" s="31"/>
    </row>
    <row r="127" spans="2:5" x14ac:dyDescent="0.25">
      <c r="B127" s="384"/>
      <c r="E127" s="31"/>
    </row>
    <row r="128" spans="2:5" x14ac:dyDescent="0.25">
      <c r="B128" s="384"/>
      <c r="E128" s="31"/>
    </row>
    <row r="129" spans="2:5" x14ac:dyDescent="0.25">
      <c r="B129" s="384"/>
      <c r="E129" s="31"/>
    </row>
    <row r="130" spans="2:5" x14ac:dyDescent="0.25">
      <c r="B130" s="384"/>
      <c r="E130" s="31"/>
    </row>
    <row r="131" spans="2:5" x14ac:dyDescent="0.25">
      <c r="B131" s="384"/>
      <c r="E131" s="31"/>
    </row>
    <row r="132" spans="2:5" x14ac:dyDescent="0.25">
      <c r="B132" s="384"/>
      <c r="E132" s="31"/>
    </row>
    <row r="133" spans="2:5" x14ac:dyDescent="0.25">
      <c r="B133" s="384"/>
      <c r="E133" s="31"/>
    </row>
    <row r="134" spans="2:5" x14ac:dyDescent="0.25">
      <c r="B134" s="384"/>
      <c r="E134" s="31"/>
    </row>
    <row r="135" spans="2:5" x14ac:dyDescent="0.25">
      <c r="B135" s="384"/>
      <c r="E135" s="31"/>
    </row>
    <row r="136" spans="2:5" x14ac:dyDescent="0.25">
      <c r="B136" s="384"/>
      <c r="E136" s="31"/>
    </row>
    <row r="137" spans="2:5" x14ac:dyDescent="0.25">
      <c r="B137" s="384"/>
      <c r="E137" s="31"/>
    </row>
    <row r="138" spans="2:5" x14ac:dyDescent="0.25">
      <c r="B138" s="384"/>
      <c r="E138" s="31"/>
    </row>
    <row r="139" spans="2:5" x14ac:dyDescent="0.25">
      <c r="B139" s="384"/>
      <c r="E139" s="31"/>
    </row>
    <row r="140" spans="2:5" x14ac:dyDescent="0.25">
      <c r="B140" s="384"/>
      <c r="E140" s="31"/>
    </row>
    <row r="141" spans="2:5" x14ac:dyDescent="0.25">
      <c r="B141" s="384"/>
      <c r="E141" s="31"/>
    </row>
    <row r="142" spans="2:5" x14ac:dyDescent="0.25">
      <c r="B142" s="384"/>
      <c r="E142" s="31"/>
    </row>
    <row r="143" spans="2:5" x14ac:dyDescent="0.25">
      <c r="B143" s="384"/>
      <c r="E143" s="31"/>
    </row>
    <row r="144" spans="2:5" x14ac:dyDescent="0.25">
      <c r="B144" s="384"/>
      <c r="E144" s="31"/>
    </row>
    <row r="145" spans="2:5" x14ac:dyDescent="0.25">
      <c r="B145" s="384"/>
      <c r="E145" s="31"/>
    </row>
    <row r="146" spans="2:5" x14ac:dyDescent="0.25">
      <c r="B146" s="384"/>
      <c r="E146" s="31"/>
    </row>
    <row r="147" spans="2:5" x14ac:dyDescent="0.25">
      <c r="B147" s="384"/>
      <c r="E147" s="31"/>
    </row>
    <row r="148" spans="2:5" x14ac:dyDescent="0.25">
      <c r="B148" s="384"/>
      <c r="E148" s="31"/>
    </row>
    <row r="149" spans="2:5" x14ac:dyDescent="0.25">
      <c r="B149" s="384"/>
      <c r="E149" s="31"/>
    </row>
    <row r="150" spans="2:5" x14ac:dyDescent="0.25">
      <c r="B150" s="384"/>
      <c r="E150" s="31"/>
    </row>
    <row r="151" spans="2:5" x14ac:dyDescent="0.25">
      <c r="B151" s="384"/>
      <c r="E151" s="31"/>
    </row>
    <row r="152" spans="2:5" x14ac:dyDescent="0.25">
      <c r="B152" s="384"/>
      <c r="E152" s="31"/>
    </row>
    <row r="153" spans="2:5" x14ac:dyDescent="0.25">
      <c r="B153" s="384"/>
      <c r="E153" s="31"/>
    </row>
    <row r="154" spans="2:5" x14ac:dyDescent="0.25">
      <c r="B154" s="384"/>
      <c r="E154" s="31"/>
    </row>
    <row r="155" spans="2:5" x14ac:dyDescent="0.25">
      <c r="B155" s="384"/>
      <c r="E155" s="31"/>
    </row>
    <row r="156" spans="2:5" x14ac:dyDescent="0.25">
      <c r="B156" s="384"/>
      <c r="E156" s="31"/>
    </row>
    <row r="157" spans="2:5" x14ac:dyDescent="0.25">
      <c r="B157" s="384"/>
      <c r="E157" s="31"/>
    </row>
    <row r="158" spans="2:5" x14ac:dyDescent="0.25">
      <c r="B158" s="384"/>
      <c r="E158" s="31"/>
    </row>
    <row r="159" spans="2:5" x14ac:dyDescent="0.25">
      <c r="B159" s="384"/>
      <c r="E159" s="31"/>
    </row>
    <row r="160" spans="2:5" x14ac:dyDescent="0.25">
      <c r="B160" s="384"/>
      <c r="E160" s="31"/>
    </row>
    <row r="161" spans="2:5" x14ac:dyDescent="0.25">
      <c r="B161" s="384"/>
      <c r="E161" s="31"/>
    </row>
    <row r="162" spans="2:5" x14ac:dyDescent="0.25">
      <c r="B162" s="384"/>
      <c r="E162" s="31"/>
    </row>
    <row r="163" spans="2:5" x14ac:dyDescent="0.25">
      <c r="B163" s="384"/>
      <c r="E163" s="31"/>
    </row>
    <row r="164" spans="2:5" x14ac:dyDescent="0.25">
      <c r="B164" s="384"/>
      <c r="E164" s="31"/>
    </row>
    <row r="165" spans="2:5" x14ac:dyDescent="0.25">
      <c r="B165" s="384"/>
      <c r="E165" s="31"/>
    </row>
    <row r="166" spans="2:5" x14ac:dyDescent="0.25">
      <c r="B166" s="384"/>
      <c r="E166" s="31"/>
    </row>
    <row r="167" spans="2:5" x14ac:dyDescent="0.25">
      <c r="B167" s="384"/>
      <c r="E167" s="31"/>
    </row>
    <row r="168" spans="2:5" x14ac:dyDescent="0.25">
      <c r="B168" s="384"/>
      <c r="E168" s="31"/>
    </row>
    <row r="169" spans="2:5" x14ac:dyDescent="0.25">
      <c r="B169" s="384"/>
      <c r="E169" s="31"/>
    </row>
    <row r="170" spans="2:5" x14ac:dyDescent="0.25">
      <c r="B170" s="384"/>
      <c r="E170" s="31"/>
    </row>
    <row r="171" spans="2:5" x14ac:dyDescent="0.25">
      <c r="B171" s="384"/>
      <c r="E171" s="31"/>
    </row>
    <row r="172" spans="2:5" x14ac:dyDescent="0.25">
      <c r="B172" s="384"/>
      <c r="E172" s="31"/>
    </row>
    <row r="173" spans="2:5" x14ac:dyDescent="0.25">
      <c r="B173" s="384"/>
      <c r="E173" s="31"/>
    </row>
    <row r="174" spans="2:5" x14ac:dyDescent="0.25">
      <c r="B174" s="384"/>
      <c r="E174" s="31"/>
    </row>
    <row r="175" spans="2:5" x14ac:dyDescent="0.25">
      <c r="B175" s="384"/>
      <c r="E175" s="31"/>
    </row>
    <row r="176" spans="2:5" x14ac:dyDescent="0.25">
      <c r="B176" s="384"/>
      <c r="E176" s="31"/>
    </row>
    <row r="177" spans="2:5" x14ac:dyDescent="0.25">
      <c r="B177" s="384"/>
      <c r="E177" s="31"/>
    </row>
    <row r="178" spans="2:5" x14ac:dyDescent="0.25">
      <c r="B178" s="384"/>
      <c r="E178" s="31"/>
    </row>
    <row r="179" spans="2:5" x14ac:dyDescent="0.25">
      <c r="B179" s="384"/>
      <c r="E179" s="31"/>
    </row>
    <row r="180" spans="2:5" x14ac:dyDescent="0.25">
      <c r="B180" s="384"/>
      <c r="E180" s="31"/>
    </row>
    <row r="181" spans="2:5" x14ac:dyDescent="0.25">
      <c r="B181" s="384"/>
      <c r="E181" s="31"/>
    </row>
    <row r="182" spans="2:5" x14ac:dyDescent="0.25">
      <c r="B182" s="384"/>
      <c r="E182" s="31"/>
    </row>
    <row r="183" spans="2:5" x14ac:dyDescent="0.25">
      <c r="B183" s="384"/>
      <c r="E183" s="31"/>
    </row>
    <row r="184" spans="2:5" x14ac:dyDescent="0.25">
      <c r="B184" s="384"/>
      <c r="E184" s="31"/>
    </row>
    <row r="185" spans="2:5" x14ac:dyDescent="0.25">
      <c r="B185" s="384"/>
      <c r="E185" s="31"/>
    </row>
    <row r="186" spans="2:5" x14ac:dyDescent="0.25">
      <c r="B186" s="384"/>
      <c r="E186" s="31"/>
    </row>
    <row r="187" spans="2:5" x14ac:dyDescent="0.25">
      <c r="B187" s="384"/>
      <c r="E187" s="31"/>
    </row>
    <row r="188" spans="2:5" x14ac:dyDescent="0.25">
      <c r="B188" s="384"/>
      <c r="E188" s="31"/>
    </row>
    <row r="189" spans="2:5" x14ac:dyDescent="0.25">
      <c r="B189" s="384"/>
      <c r="E189" s="31"/>
    </row>
    <row r="190" spans="2:5" x14ac:dyDescent="0.25">
      <c r="B190" s="384"/>
      <c r="E190" s="31"/>
    </row>
    <row r="191" spans="2:5" x14ac:dyDescent="0.25">
      <c r="B191" s="384"/>
      <c r="E191" s="31"/>
    </row>
    <row r="192" spans="2:5" x14ac:dyDescent="0.25">
      <c r="B192" s="384"/>
      <c r="E192" s="31"/>
    </row>
    <row r="193" spans="2:5" x14ac:dyDescent="0.25">
      <c r="B193" s="384"/>
      <c r="E193" s="31"/>
    </row>
    <row r="194" spans="2:5" x14ac:dyDescent="0.25">
      <c r="B194" s="384"/>
      <c r="E194" s="31"/>
    </row>
    <row r="195" spans="2:5" x14ac:dyDescent="0.25">
      <c r="B195" s="384"/>
      <c r="E195" s="31"/>
    </row>
    <row r="196" spans="2:5" x14ac:dyDescent="0.25">
      <c r="B196" s="384"/>
      <c r="E196" s="31"/>
    </row>
    <row r="197" spans="2:5" x14ac:dyDescent="0.25">
      <c r="B197" s="384"/>
      <c r="E197" s="31"/>
    </row>
    <row r="198" spans="2:5" x14ac:dyDescent="0.25">
      <c r="B198" s="384"/>
      <c r="E198" s="31"/>
    </row>
    <row r="199" spans="2:5" x14ac:dyDescent="0.25">
      <c r="B199" s="384"/>
      <c r="E199" s="31"/>
    </row>
    <row r="200" spans="2:5" x14ac:dyDescent="0.25">
      <c r="B200" s="384"/>
      <c r="E200" s="31"/>
    </row>
    <row r="201" spans="2:5" x14ac:dyDescent="0.25">
      <c r="B201" s="384"/>
      <c r="E201" s="31"/>
    </row>
    <row r="202" spans="2:5" x14ac:dyDescent="0.25">
      <c r="B202" s="384"/>
      <c r="E202" s="31"/>
    </row>
    <row r="203" spans="2:5" x14ac:dyDescent="0.25">
      <c r="B203" s="384"/>
      <c r="E203" s="31"/>
    </row>
    <row r="204" spans="2:5" x14ac:dyDescent="0.25">
      <c r="B204" s="384"/>
      <c r="E204" s="31"/>
    </row>
    <row r="205" spans="2:5" x14ac:dyDescent="0.25">
      <c r="B205" s="384"/>
      <c r="E205" s="31"/>
    </row>
    <row r="206" spans="2:5" x14ac:dyDescent="0.25">
      <c r="B206" s="384"/>
      <c r="E206" s="31"/>
    </row>
    <row r="207" spans="2:5" x14ac:dyDescent="0.25">
      <c r="B207" s="384"/>
      <c r="E207" s="31"/>
    </row>
    <row r="208" spans="2:5" x14ac:dyDescent="0.25">
      <c r="B208" s="384"/>
      <c r="E208" s="31"/>
    </row>
    <row r="209" spans="2:5" x14ac:dyDescent="0.25">
      <c r="B209" s="384"/>
      <c r="E209" s="31"/>
    </row>
    <row r="210" spans="2:5" x14ac:dyDescent="0.25">
      <c r="B210" s="384"/>
      <c r="E210" s="31"/>
    </row>
    <row r="211" spans="2:5" x14ac:dyDescent="0.25">
      <c r="B211" s="384"/>
      <c r="E211" s="31"/>
    </row>
    <row r="212" spans="2:5" x14ac:dyDescent="0.25">
      <c r="B212" s="384"/>
      <c r="E212" s="31"/>
    </row>
    <row r="213" spans="2:5" x14ac:dyDescent="0.25">
      <c r="B213" s="384"/>
      <c r="E213" s="31"/>
    </row>
    <row r="214" spans="2:5" x14ac:dyDescent="0.25">
      <c r="B214" s="384"/>
      <c r="E214" s="31"/>
    </row>
    <row r="215" spans="2:5" x14ac:dyDescent="0.25">
      <c r="B215" s="384"/>
      <c r="E215" s="31"/>
    </row>
    <row r="216" spans="2:5" x14ac:dyDescent="0.25">
      <c r="B216" s="384"/>
      <c r="E216" s="31"/>
    </row>
    <row r="217" spans="2:5" x14ac:dyDescent="0.25">
      <c r="B217" s="384"/>
      <c r="E217" s="31"/>
    </row>
    <row r="218" spans="2:5" x14ac:dyDescent="0.25">
      <c r="B218" s="384"/>
      <c r="E218" s="31"/>
    </row>
    <row r="219" spans="2:5" x14ac:dyDescent="0.25">
      <c r="B219" s="384"/>
      <c r="E219" s="31"/>
    </row>
    <row r="220" spans="2:5" x14ac:dyDescent="0.25">
      <c r="B220" s="384"/>
      <c r="E220" s="31"/>
    </row>
    <row r="221" spans="2:5" x14ac:dyDescent="0.25">
      <c r="B221" s="384"/>
      <c r="E221" s="31"/>
    </row>
    <row r="222" spans="2:5" x14ac:dyDescent="0.25">
      <c r="B222" s="384"/>
      <c r="E222" s="31"/>
    </row>
    <row r="223" spans="2:5" x14ac:dyDescent="0.25">
      <c r="B223" s="384"/>
      <c r="E223" s="31"/>
    </row>
    <row r="224" spans="2:5" x14ac:dyDescent="0.25">
      <c r="B224" s="384"/>
      <c r="E224" s="31"/>
    </row>
    <row r="225" spans="2:5" x14ac:dyDescent="0.25">
      <c r="B225" s="384"/>
      <c r="E225" s="31"/>
    </row>
    <row r="226" spans="2:5" x14ac:dyDescent="0.25">
      <c r="B226" s="384"/>
      <c r="E226" s="31"/>
    </row>
    <row r="227" spans="2:5" x14ac:dyDescent="0.25">
      <c r="B227" s="384"/>
      <c r="E227" s="31"/>
    </row>
    <row r="228" spans="2:5" x14ac:dyDescent="0.25">
      <c r="B228" s="384"/>
      <c r="E228" s="31"/>
    </row>
    <row r="229" spans="2:5" x14ac:dyDescent="0.25">
      <c r="B229" s="384"/>
      <c r="E229" s="31"/>
    </row>
    <row r="230" spans="2:5" x14ac:dyDescent="0.25">
      <c r="B230" s="384"/>
      <c r="E230" s="31"/>
    </row>
    <row r="231" spans="2:5" x14ac:dyDescent="0.25">
      <c r="B231" s="384"/>
      <c r="E231" s="31"/>
    </row>
    <row r="232" spans="2:5" x14ac:dyDescent="0.25">
      <c r="B232" s="384"/>
      <c r="E232" s="31"/>
    </row>
    <row r="233" spans="2:5" x14ac:dyDescent="0.25">
      <c r="B233" s="384"/>
      <c r="E233" s="31"/>
    </row>
    <row r="234" spans="2:5" x14ac:dyDescent="0.25">
      <c r="B234" s="384"/>
      <c r="E234" s="31"/>
    </row>
    <row r="235" spans="2:5" x14ac:dyDescent="0.25">
      <c r="B235" s="384"/>
      <c r="E235" s="31"/>
    </row>
    <row r="236" spans="2:5" x14ac:dyDescent="0.25">
      <c r="B236" s="384"/>
      <c r="E236" s="31"/>
    </row>
    <row r="237" spans="2:5" x14ac:dyDescent="0.25">
      <c r="B237" s="384"/>
      <c r="E237" s="31"/>
    </row>
    <row r="238" spans="2:5" x14ac:dyDescent="0.25">
      <c r="B238" s="384"/>
      <c r="E238" s="31"/>
    </row>
    <row r="239" spans="2:5" x14ac:dyDescent="0.25">
      <c r="B239" s="384"/>
      <c r="E239" s="31"/>
    </row>
    <row r="240" spans="2:5" x14ac:dyDescent="0.25">
      <c r="B240" s="384"/>
      <c r="E240" s="31"/>
    </row>
    <row r="241" spans="2:5" x14ac:dyDescent="0.25">
      <c r="B241" s="384"/>
      <c r="E241" s="31"/>
    </row>
    <row r="242" spans="2:5" x14ac:dyDescent="0.25">
      <c r="B242" s="384"/>
      <c r="E242" s="31"/>
    </row>
    <row r="243" spans="2:5" x14ac:dyDescent="0.25">
      <c r="B243" s="384"/>
      <c r="E243" s="31"/>
    </row>
    <row r="244" spans="2:5" x14ac:dyDescent="0.25">
      <c r="B244" s="384"/>
      <c r="E244" s="31"/>
    </row>
    <row r="245" spans="2:5" x14ac:dyDescent="0.25">
      <c r="B245" s="384"/>
      <c r="E245" s="31"/>
    </row>
    <row r="246" spans="2:5" x14ac:dyDescent="0.25">
      <c r="B246" s="384"/>
      <c r="E246" s="31"/>
    </row>
    <row r="247" spans="2:5" x14ac:dyDescent="0.25">
      <c r="B247" s="384"/>
      <c r="E247" s="31"/>
    </row>
    <row r="248" spans="2:5" x14ac:dyDescent="0.25">
      <c r="B248" s="384"/>
      <c r="E248" s="31"/>
    </row>
    <row r="249" spans="2:5" x14ac:dyDescent="0.25">
      <c r="B249" s="384"/>
      <c r="E249" s="31"/>
    </row>
    <row r="250" spans="2:5" x14ac:dyDescent="0.25">
      <c r="B250" s="384"/>
      <c r="E250" s="31"/>
    </row>
    <row r="251" spans="2:5" x14ac:dyDescent="0.25">
      <c r="B251" s="384"/>
      <c r="E251" s="31"/>
    </row>
    <row r="252" spans="2:5" x14ac:dyDescent="0.25">
      <c r="B252" s="384"/>
      <c r="E252" s="31"/>
    </row>
    <row r="253" spans="2:5" x14ac:dyDescent="0.25">
      <c r="B253" s="384"/>
      <c r="E253" s="31"/>
    </row>
    <row r="254" spans="2:5" x14ac:dyDescent="0.25">
      <c r="B254" s="384"/>
      <c r="E254" s="31"/>
    </row>
    <row r="255" spans="2:5" x14ac:dyDescent="0.25">
      <c r="B255" s="384"/>
      <c r="E255" s="31"/>
    </row>
    <row r="256" spans="2:5" x14ac:dyDescent="0.25">
      <c r="B256" s="384"/>
      <c r="E256" s="31"/>
    </row>
    <row r="257" spans="2:5" x14ac:dyDescent="0.25">
      <c r="B257" s="384"/>
      <c r="E257" s="31"/>
    </row>
    <row r="258" spans="2:5" x14ac:dyDescent="0.25">
      <c r="B258" s="384"/>
      <c r="E258" s="31"/>
    </row>
    <row r="259" spans="2:5" x14ac:dyDescent="0.25">
      <c r="B259" s="384"/>
      <c r="E259" s="31"/>
    </row>
    <row r="260" spans="2:5" x14ac:dyDescent="0.25">
      <c r="B260" s="384"/>
      <c r="E260" s="31"/>
    </row>
    <row r="261" spans="2:5" x14ac:dyDescent="0.25">
      <c r="B261" s="384"/>
      <c r="E261" s="31"/>
    </row>
    <row r="262" spans="2:5" x14ac:dyDescent="0.25">
      <c r="B262" s="384"/>
      <c r="E262" s="31"/>
    </row>
    <row r="263" spans="2:5" x14ac:dyDescent="0.25">
      <c r="B263" s="384"/>
      <c r="E263" s="31"/>
    </row>
    <row r="264" spans="2:5" x14ac:dyDescent="0.25">
      <c r="B264" s="384"/>
      <c r="E264" s="31"/>
    </row>
    <row r="265" spans="2:5" x14ac:dyDescent="0.25">
      <c r="B265" s="384"/>
      <c r="E265" s="31"/>
    </row>
    <row r="266" spans="2:5" x14ac:dyDescent="0.25">
      <c r="B266" s="384"/>
      <c r="E266" s="31"/>
    </row>
    <row r="267" spans="2:5" x14ac:dyDescent="0.25">
      <c r="B267" s="384"/>
      <c r="E267" s="31"/>
    </row>
    <row r="268" spans="2:5" x14ac:dyDescent="0.25">
      <c r="B268" s="384"/>
      <c r="E268" s="31"/>
    </row>
    <row r="269" spans="2:5" x14ac:dyDescent="0.25">
      <c r="B269" s="384"/>
      <c r="E269" s="31"/>
    </row>
    <row r="270" spans="2:5" x14ac:dyDescent="0.25">
      <c r="B270" s="384"/>
      <c r="E270" s="31"/>
    </row>
    <row r="271" spans="2:5" x14ac:dyDescent="0.25">
      <c r="B271" s="384"/>
      <c r="E271" s="31"/>
    </row>
    <row r="272" spans="2:5" x14ac:dyDescent="0.25">
      <c r="B272" s="384"/>
      <c r="E272" s="31"/>
    </row>
    <row r="273" spans="2:5" x14ac:dyDescent="0.25">
      <c r="B273" s="384"/>
      <c r="E273" s="31"/>
    </row>
    <row r="274" spans="2:5" x14ac:dyDescent="0.25">
      <c r="B274" s="384"/>
      <c r="E274" s="31"/>
    </row>
    <row r="275" spans="2:5" x14ac:dyDescent="0.25">
      <c r="B275" s="384"/>
      <c r="E275" s="31"/>
    </row>
    <row r="276" spans="2:5" x14ac:dyDescent="0.25">
      <c r="B276" s="384"/>
      <c r="E276" s="31"/>
    </row>
    <row r="277" spans="2:5" x14ac:dyDescent="0.25">
      <c r="B277" s="384"/>
      <c r="E277" s="31"/>
    </row>
    <row r="278" spans="2:5" x14ac:dyDescent="0.25">
      <c r="B278" s="384"/>
      <c r="E278" s="31"/>
    </row>
    <row r="279" spans="2:5" x14ac:dyDescent="0.25">
      <c r="B279" s="384"/>
      <c r="E279" s="31"/>
    </row>
    <row r="280" spans="2:5" x14ac:dyDescent="0.25">
      <c r="B280" s="384"/>
      <c r="E280" s="31"/>
    </row>
    <row r="281" spans="2:5" x14ac:dyDescent="0.25">
      <c r="B281" s="384"/>
      <c r="E281" s="31"/>
    </row>
    <row r="282" spans="2:5" x14ac:dyDescent="0.25">
      <c r="B282" s="384"/>
      <c r="E282" s="31"/>
    </row>
    <row r="283" spans="2:5" x14ac:dyDescent="0.25">
      <c r="B283" s="384"/>
      <c r="E283" s="31"/>
    </row>
    <row r="284" spans="2:5" x14ac:dyDescent="0.25">
      <c r="B284" s="384"/>
      <c r="E284" s="31"/>
    </row>
    <row r="285" spans="2:5" x14ac:dyDescent="0.25">
      <c r="B285" s="384"/>
      <c r="E285" s="31"/>
    </row>
    <row r="286" spans="2:5" x14ac:dyDescent="0.25">
      <c r="B286" s="384"/>
      <c r="E286" s="31"/>
    </row>
    <row r="287" spans="2:5" x14ac:dyDescent="0.25">
      <c r="B287" s="384"/>
      <c r="E287" s="31"/>
    </row>
    <row r="288" spans="2:5" x14ac:dyDescent="0.25">
      <c r="B288" s="384"/>
      <c r="E288" s="31"/>
    </row>
    <row r="289" spans="2:5" x14ac:dyDescent="0.25">
      <c r="B289" s="384"/>
      <c r="E289" s="31"/>
    </row>
    <row r="290" spans="2:5" x14ac:dyDescent="0.25">
      <c r="B290" s="384"/>
      <c r="E290" s="31"/>
    </row>
    <row r="291" spans="2:5" x14ac:dyDescent="0.25">
      <c r="B291" s="384"/>
      <c r="E291" s="31"/>
    </row>
    <row r="292" spans="2:5" x14ac:dyDescent="0.25">
      <c r="B292" s="384"/>
      <c r="E292" s="31"/>
    </row>
    <row r="293" spans="2:5" x14ac:dyDescent="0.25">
      <c r="B293" s="384"/>
      <c r="E293" s="31"/>
    </row>
    <row r="294" spans="2:5" x14ac:dyDescent="0.25">
      <c r="B294" s="384"/>
      <c r="E294" s="31"/>
    </row>
    <row r="295" spans="2:5" x14ac:dyDescent="0.25">
      <c r="B295" s="384"/>
      <c r="E295" s="31"/>
    </row>
    <row r="296" spans="2:5" x14ac:dyDescent="0.25">
      <c r="B296" s="384"/>
      <c r="E296" s="31"/>
    </row>
    <row r="297" spans="2:5" x14ac:dyDescent="0.25">
      <c r="B297" s="384"/>
      <c r="E297" s="31"/>
    </row>
    <row r="298" spans="2:5" x14ac:dyDescent="0.25">
      <c r="B298" s="384"/>
      <c r="E298" s="31"/>
    </row>
    <row r="299" spans="2:5" x14ac:dyDescent="0.25">
      <c r="B299" s="384"/>
      <c r="E299" s="31"/>
    </row>
    <row r="300" spans="2:5" x14ac:dyDescent="0.25">
      <c r="B300" s="384"/>
      <c r="E300" s="31"/>
    </row>
    <row r="301" spans="2:5" x14ac:dyDescent="0.25">
      <c r="B301" s="384"/>
      <c r="E301" s="31"/>
    </row>
    <row r="302" spans="2:5" x14ac:dyDescent="0.25">
      <c r="B302" s="384"/>
      <c r="E302" s="31"/>
    </row>
    <row r="303" spans="2:5" x14ac:dyDescent="0.25">
      <c r="B303" s="384"/>
      <c r="E303" s="31"/>
    </row>
    <row r="304" spans="2:5" x14ac:dyDescent="0.25">
      <c r="B304" s="384"/>
      <c r="E304" s="31"/>
    </row>
    <row r="305" spans="2:5" x14ac:dyDescent="0.25">
      <c r="B305" s="384"/>
      <c r="E305" s="31"/>
    </row>
    <row r="306" spans="2:5" x14ac:dyDescent="0.25">
      <c r="B306" s="384"/>
      <c r="E306" s="31"/>
    </row>
    <row r="307" spans="2:5" x14ac:dyDescent="0.25">
      <c r="B307" s="384"/>
      <c r="E307" s="31"/>
    </row>
    <row r="308" spans="2:5" x14ac:dyDescent="0.25">
      <c r="B308" s="384"/>
      <c r="E308" s="31"/>
    </row>
    <row r="309" spans="2:5" x14ac:dyDescent="0.25">
      <c r="B309" s="384"/>
      <c r="E309" s="31"/>
    </row>
    <row r="310" spans="2:5" x14ac:dyDescent="0.25">
      <c r="B310" s="384"/>
      <c r="E310" s="31"/>
    </row>
    <row r="311" spans="2:5" x14ac:dyDescent="0.25">
      <c r="B311" s="384"/>
      <c r="E311" s="31"/>
    </row>
    <row r="312" spans="2:5" x14ac:dyDescent="0.25">
      <c r="B312" s="384"/>
      <c r="E312" s="31"/>
    </row>
    <row r="313" spans="2:5" x14ac:dyDescent="0.25">
      <c r="B313" s="384"/>
      <c r="E313" s="31"/>
    </row>
    <row r="314" spans="2:5" x14ac:dyDescent="0.25">
      <c r="B314" s="384"/>
      <c r="E314" s="31"/>
    </row>
    <row r="315" spans="2:5" x14ac:dyDescent="0.25">
      <c r="B315" s="384"/>
      <c r="E315" s="31"/>
    </row>
    <row r="316" spans="2:5" x14ac:dyDescent="0.25">
      <c r="B316" s="384"/>
      <c r="E316" s="31"/>
    </row>
    <row r="317" spans="2:5" x14ac:dyDescent="0.25">
      <c r="B317" s="384"/>
      <c r="E317" s="31"/>
    </row>
    <row r="318" spans="2:5" x14ac:dyDescent="0.25">
      <c r="B318" s="384"/>
      <c r="E318" s="31"/>
    </row>
    <row r="319" spans="2:5" x14ac:dyDescent="0.25">
      <c r="B319" s="384"/>
      <c r="E319" s="31"/>
    </row>
    <row r="320" spans="2:5" x14ac:dyDescent="0.25">
      <c r="B320" s="384"/>
      <c r="E320" s="31"/>
    </row>
    <row r="321" spans="2:5" x14ac:dyDescent="0.25">
      <c r="B321" s="384"/>
      <c r="E321" s="31"/>
    </row>
    <row r="322" spans="2:5" x14ac:dyDescent="0.25">
      <c r="B322" s="384"/>
      <c r="E322" s="31"/>
    </row>
    <row r="323" spans="2:5" x14ac:dyDescent="0.25">
      <c r="B323" s="384"/>
      <c r="E323" s="31"/>
    </row>
    <row r="324" spans="2:5" x14ac:dyDescent="0.25">
      <c r="B324" s="384"/>
      <c r="E324" s="31"/>
    </row>
    <row r="325" spans="2:5" x14ac:dyDescent="0.25">
      <c r="B325" s="384"/>
      <c r="E325" s="31"/>
    </row>
    <row r="326" spans="2:5" x14ac:dyDescent="0.25">
      <c r="B326" s="384"/>
      <c r="E326" s="31"/>
    </row>
    <row r="327" spans="2:5" x14ac:dyDescent="0.25">
      <c r="B327" s="384"/>
      <c r="E327" s="31"/>
    </row>
    <row r="328" spans="2:5" x14ac:dyDescent="0.25">
      <c r="B328" s="384"/>
      <c r="E328" s="31"/>
    </row>
    <row r="329" spans="2:5" x14ac:dyDescent="0.25">
      <c r="B329" s="384"/>
      <c r="E329" s="31"/>
    </row>
    <row r="330" spans="2:5" x14ac:dyDescent="0.25">
      <c r="B330" s="384"/>
      <c r="E330" s="31"/>
    </row>
    <row r="331" spans="2:5" x14ac:dyDescent="0.25">
      <c r="B331" s="384"/>
      <c r="E331" s="31"/>
    </row>
    <row r="332" spans="2:5" x14ac:dyDescent="0.25">
      <c r="B332" s="384"/>
      <c r="E332" s="31"/>
    </row>
    <row r="333" spans="2:5" x14ac:dyDescent="0.25">
      <c r="B333" s="384"/>
      <c r="E333" s="31"/>
    </row>
    <row r="334" spans="2:5" x14ac:dyDescent="0.25">
      <c r="B334" s="384"/>
      <c r="E334" s="31"/>
    </row>
    <row r="335" spans="2:5" x14ac:dyDescent="0.25">
      <c r="B335" s="384"/>
      <c r="E335" s="31"/>
    </row>
    <row r="336" spans="2:5" x14ac:dyDescent="0.25">
      <c r="B336" s="384"/>
      <c r="E336" s="31"/>
    </row>
    <row r="337" spans="2:5" x14ac:dyDescent="0.25">
      <c r="B337" s="384"/>
      <c r="E337" s="31"/>
    </row>
    <row r="338" spans="2:5" x14ac:dyDescent="0.25">
      <c r="B338" s="384"/>
      <c r="E338" s="31"/>
    </row>
    <row r="339" spans="2:5" x14ac:dyDescent="0.25">
      <c r="B339" s="384"/>
      <c r="E339" s="31"/>
    </row>
    <row r="340" spans="2:5" x14ac:dyDescent="0.25">
      <c r="B340" s="384"/>
      <c r="E340" s="31"/>
    </row>
    <row r="341" spans="2:5" x14ac:dyDescent="0.25">
      <c r="B341" s="384"/>
      <c r="E341" s="31"/>
    </row>
    <row r="342" spans="2:5" x14ac:dyDescent="0.25">
      <c r="B342" s="384"/>
      <c r="E342" s="31"/>
    </row>
    <row r="343" spans="2:5" x14ac:dyDescent="0.25">
      <c r="B343" s="384"/>
      <c r="E343" s="31"/>
    </row>
    <row r="344" spans="2:5" x14ac:dyDescent="0.25">
      <c r="B344" s="384"/>
      <c r="E344" s="31"/>
    </row>
    <row r="345" spans="2:5" x14ac:dyDescent="0.25">
      <c r="B345" s="384"/>
      <c r="E345" s="31"/>
    </row>
    <row r="346" spans="2:5" x14ac:dyDescent="0.25">
      <c r="B346" s="384"/>
      <c r="E346" s="31"/>
    </row>
    <row r="347" spans="2:5" x14ac:dyDescent="0.25">
      <c r="B347" s="384"/>
      <c r="E347" s="31"/>
    </row>
    <row r="348" spans="2:5" x14ac:dyDescent="0.25">
      <c r="B348" s="384"/>
      <c r="E348" s="31"/>
    </row>
    <row r="349" spans="2:5" x14ac:dyDescent="0.25">
      <c r="B349" s="384"/>
      <c r="E349" s="31"/>
    </row>
    <row r="350" spans="2:5" x14ac:dyDescent="0.25">
      <c r="B350" s="384"/>
      <c r="E350" s="31"/>
    </row>
    <row r="351" spans="2:5" x14ac:dyDescent="0.25">
      <c r="B351" s="384"/>
      <c r="E351" s="31"/>
    </row>
    <row r="352" spans="2:5" x14ac:dyDescent="0.25">
      <c r="B352" s="384"/>
      <c r="E352" s="31"/>
    </row>
    <row r="353" spans="2:5" x14ac:dyDescent="0.25">
      <c r="B353" s="384"/>
      <c r="E353" s="31"/>
    </row>
    <row r="354" spans="2:5" x14ac:dyDescent="0.25">
      <c r="B354" s="384"/>
      <c r="E354" s="31"/>
    </row>
    <row r="355" spans="2:5" x14ac:dyDescent="0.25">
      <c r="B355" s="384"/>
      <c r="E355" s="31"/>
    </row>
    <row r="356" spans="2:5" x14ac:dyDescent="0.25">
      <c r="B356" s="384"/>
      <c r="E356" s="31"/>
    </row>
    <row r="357" spans="2:5" x14ac:dyDescent="0.25">
      <c r="B357" s="384"/>
      <c r="E357" s="31"/>
    </row>
    <row r="358" spans="2:5" x14ac:dyDescent="0.25">
      <c r="B358" s="384"/>
      <c r="E358" s="31"/>
    </row>
    <row r="359" spans="2:5" x14ac:dyDescent="0.25">
      <c r="B359" s="384"/>
      <c r="E359" s="31"/>
    </row>
    <row r="360" spans="2:5" x14ac:dyDescent="0.25">
      <c r="B360" s="384"/>
      <c r="E360" s="31"/>
    </row>
    <row r="361" spans="2:5" x14ac:dyDescent="0.25">
      <c r="B361" s="384"/>
      <c r="E361" s="31"/>
    </row>
    <row r="362" spans="2:5" x14ac:dyDescent="0.25">
      <c r="B362" s="384"/>
      <c r="E362" s="31"/>
    </row>
    <row r="363" spans="2:5" x14ac:dyDescent="0.25">
      <c r="B363" s="384"/>
      <c r="E363" s="31"/>
    </row>
    <row r="364" spans="2:5" x14ac:dyDescent="0.25">
      <c r="B364" s="384"/>
      <c r="E364" s="31"/>
    </row>
    <row r="365" spans="2:5" x14ac:dyDescent="0.25">
      <c r="B365" s="384"/>
      <c r="E365" s="31"/>
    </row>
    <row r="366" spans="2:5" x14ac:dyDescent="0.25">
      <c r="B366" s="384"/>
      <c r="E366" s="31"/>
    </row>
    <row r="367" spans="2:5" x14ac:dyDescent="0.25">
      <c r="B367" s="384"/>
      <c r="E367" s="31"/>
    </row>
    <row r="368" spans="2:5" x14ac:dyDescent="0.25">
      <c r="B368" s="384"/>
      <c r="E368" s="31"/>
    </row>
    <row r="369" spans="2:5" x14ac:dyDescent="0.25">
      <c r="B369" s="384"/>
      <c r="E369" s="31"/>
    </row>
    <row r="370" spans="2:5" x14ac:dyDescent="0.25">
      <c r="B370" s="384"/>
      <c r="E370" s="31"/>
    </row>
    <row r="371" spans="2:5" x14ac:dyDescent="0.25">
      <c r="B371" s="384"/>
      <c r="E371" s="31"/>
    </row>
    <row r="372" spans="2:5" x14ac:dyDescent="0.25">
      <c r="B372" s="384"/>
      <c r="E372" s="31"/>
    </row>
    <row r="373" spans="2:5" x14ac:dyDescent="0.25">
      <c r="B373" s="384"/>
      <c r="E373" s="31"/>
    </row>
    <row r="374" spans="2:5" x14ac:dyDescent="0.25">
      <c r="B374" s="384"/>
      <c r="E374" s="31"/>
    </row>
    <row r="375" spans="2:5" x14ac:dyDescent="0.25">
      <c r="B375" s="384"/>
      <c r="E375" s="31"/>
    </row>
    <row r="376" spans="2:5" x14ac:dyDescent="0.25">
      <c r="B376" s="384"/>
      <c r="E376" s="31"/>
    </row>
    <row r="377" spans="2:5" x14ac:dyDescent="0.25">
      <c r="B377" s="384"/>
      <c r="E377" s="31"/>
    </row>
    <row r="378" spans="2:5" x14ac:dyDescent="0.25">
      <c r="B378" s="384"/>
      <c r="E378" s="31"/>
    </row>
    <row r="379" spans="2:5" x14ac:dyDescent="0.25">
      <c r="B379" s="384"/>
      <c r="E379" s="31"/>
    </row>
    <row r="380" spans="2:5" x14ac:dyDescent="0.25">
      <c r="B380" s="384"/>
      <c r="E380" s="31"/>
    </row>
    <row r="381" spans="2:5" x14ac:dyDescent="0.25">
      <c r="B381" s="384"/>
      <c r="E381" s="31"/>
    </row>
    <row r="382" spans="2:5" x14ac:dyDescent="0.25">
      <c r="B382" s="384"/>
      <c r="E382" s="31"/>
    </row>
    <row r="383" spans="2:5" x14ac:dyDescent="0.25">
      <c r="B383" s="384"/>
      <c r="E383" s="31"/>
    </row>
    <row r="384" spans="2:5" x14ac:dyDescent="0.25">
      <c r="B384" s="384"/>
      <c r="E384" s="31"/>
    </row>
    <row r="385" spans="2:5" x14ac:dyDescent="0.25">
      <c r="B385" s="384"/>
      <c r="E385" s="31"/>
    </row>
    <row r="386" spans="2:5" x14ac:dyDescent="0.25">
      <c r="B386" s="384"/>
      <c r="E386" s="31"/>
    </row>
    <row r="387" spans="2:5" x14ac:dyDescent="0.25">
      <c r="B387" s="384"/>
      <c r="E387" s="31"/>
    </row>
    <row r="388" spans="2:5" x14ac:dyDescent="0.25">
      <c r="B388" s="384"/>
      <c r="E388" s="31"/>
    </row>
    <row r="389" spans="2:5" x14ac:dyDescent="0.25">
      <c r="B389" s="384"/>
      <c r="E389" s="31"/>
    </row>
    <row r="390" spans="2:5" x14ac:dyDescent="0.25">
      <c r="B390" s="384"/>
      <c r="E390" s="31"/>
    </row>
    <row r="391" spans="2:5" x14ac:dyDescent="0.25">
      <c r="B391" s="384"/>
      <c r="E391" s="31"/>
    </row>
    <row r="392" spans="2:5" x14ac:dyDescent="0.25">
      <c r="B392" s="384"/>
      <c r="E392" s="31"/>
    </row>
    <row r="393" spans="2:5" x14ac:dyDescent="0.25">
      <c r="B393" s="384"/>
      <c r="E393" s="31"/>
    </row>
    <row r="394" spans="2:5" x14ac:dyDescent="0.25">
      <c r="B394" s="384"/>
      <c r="E394" s="31"/>
    </row>
    <row r="395" spans="2:5" x14ac:dyDescent="0.25">
      <c r="B395" s="384"/>
      <c r="E395" s="31"/>
    </row>
    <row r="396" spans="2:5" x14ac:dyDescent="0.25">
      <c r="B396" s="384"/>
      <c r="E396" s="31"/>
    </row>
    <row r="397" spans="2:5" x14ac:dyDescent="0.25">
      <c r="B397" s="384"/>
      <c r="E397" s="31"/>
    </row>
    <row r="398" spans="2:5" x14ac:dyDescent="0.25">
      <c r="B398" s="384"/>
      <c r="E398" s="31"/>
    </row>
    <row r="399" spans="2:5" x14ac:dyDescent="0.25">
      <c r="B399" s="384"/>
      <c r="E399" s="31"/>
    </row>
    <row r="400" spans="2:5" x14ac:dyDescent="0.25">
      <c r="B400" s="384"/>
      <c r="E400" s="31"/>
    </row>
    <row r="401" spans="2:5" x14ac:dyDescent="0.25">
      <c r="B401" s="384"/>
      <c r="E401" s="31"/>
    </row>
    <row r="402" spans="2:5" x14ac:dyDescent="0.25">
      <c r="B402" s="384"/>
      <c r="E402" s="31"/>
    </row>
    <row r="403" spans="2:5" x14ac:dyDescent="0.25">
      <c r="B403" s="384"/>
      <c r="E403" s="31"/>
    </row>
    <row r="404" spans="2:5" x14ac:dyDescent="0.25">
      <c r="B404" s="384"/>
      <c r="E404" s="31"/>
    </row>
    <row r="405" spans="2:5" x14ac:dyDescent="0.25">
      <c r="B405" s="384"/>
      <c r="E405" s="31"/>
    </row>
    <row r="406" spans="2:5" x14ac:dyDescent="0.25">
      <c r="B406" s="384"/>
      <c r="E406" s="31"/>
    </row>
    <row r="407" spans="2:5" x14ac:dyDescent="0.25">
      <c r="B407" s="384"/>
      <c r="E407" s="31"/>
    </row>
    <row r="408" spans="2:5" x14ac:dyDescent="0.25">
      <c r="B408" s="384"/>
      <c r="E408" s="31"/>
    </row>
    <row r="409" spans="2:5" x14ac:dyDescent="0.25">
      <c r="B409" s="384"/>
      <c r="E409" s="31"/>
    </row>
    <row r="410" spans="2:5" x14ac:dyDescent="0.25">
      <c r="B410" s="384"/>
      <c r="E410" s="31"/>
    </row>
    <row r="411" spans="2:5" x14ac:dyDescent="0.25">
      <c r="B411" s="384"/>
      <c r="E411" s="31"/>
    </row>
    <row r="412" spans="2:5" x14ac:dyDescent="0.25">
      <c r="B412" s="384"/>
      <c r="E412" s="31"/>
    </row>
    <row r="413" spans="2:5" x14ac:dyDescent="0.25">
      <c r="B413" s="384"/>
      <c r="E413" s="31"/>
    </row>
    <row r="414" spans="2:5" x14ac:dyDescent="0.25">
      <c r="B414" s="384"/>
      <c r="E414" s="31"/>
    </row>
    <row r="415" spans="2:5" x14ac:dyDescent="0.25">
      <c r="B415" s="384"/>
      <c r="E415" s="31"/>
    </row>
    <row r="416" spans="2:5" x14ac:dyDescent="0.25">
      <c r="B416" s="384"/>
      <c r="E416" s="31"/>
    </row>
    <row r="417" spans="2:5" x14ac:dyDescent="0.25">
      <c r="B417" s="384"/>
      <c r="E417" s="31"/>
    </row>
  </sheetData>
  <mergeCells count="4">
    <mergeCell ref="B2:G2"/>
    <mergeCell ref="B3:G3"/>
    <mergeCell ref="B4:G4"/>
    <mergeCell ref="B5:G5"/>
  </mergeCells>
  <printOptions horizontalCentered="1"/>
  <pageMargins left="0.5" right="0.5" top="0.5" bottom="0.5" header="0.25" footer="0.25"/>
  <pageSetup scale="57" orientation="portrait" r:id="rId1"/>
  <headerFooter scaleWithDoc="0">
    <oddFooter>&amp;C&amp;"Times New Roman,Regular"&amp;10&amp;A</oddFooter>
  </headerFooter>
  <customProperties>
    <customPr name="_pios_i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2:U74"/>
  <sheetViews>
    <sheetView zoomScale="70" zoomScaleNormal="70" workbookViewId="0">
      <selection activeCell="D14" sqref="D14"/>
    </sheetView>
  </sheetViews>
  <sheetFormatPr defaultColWidth="9.28515625" defaultRowHeight="15.75" x14ac:dyDescent="0.25"/>
  <cols>
    <col min="1" max="1" width="5.28515625" style="106" customWidth="1"/>
    <col min="2" max="2" width="8.5703125" style="105" customWidth="1"/>
    <col min="3" max="3" width="69.28515625" style="105" customWidth="1"/>
    <col min="4" max="6" width="16.7109375" style="105" customWidth="1"/>
    <col min="7" max="7" width="46.7109375" style="105" customWidth="1"/>
    <col min="8" max="8" width="5.28515625" style="106" customWidth="1"/>
    <col min="9" max="9" width="4" style="105" customWidth="1"/>
    <col min="10" max="10" width="13.28515625" style="105" bestFit="1" customWidth="1"/>
    <col min="11" max="11" width="9.28515625" style="105"/>
    <col min="12" max="12" width="9.7109375" style="105" customWidth="1"/>
    <col min="13" max="13" width="10" style="105" customWidth="1"/>
    <col min="14" max="16384" width="9.28515625" style="105"/>
  </cols>
  <sheetData>
    <row r="2" spans="1:13" x14ac:dyDescent="0.25">
      <c r="B2" s="1325" t="s">
        <v>0</v>
      </c>
      <c r="C2" s="1325"/>
      <c r="D2" s="1325"/>
      <c r="E2" s="1325"/>
      <c r="F2" s="1325"/>
      <c r="G2" s="1325"/>
      <c r="H2" s="385"/>
      <c r="J2"/>
      <c r="K2"/>
      <c r="L2"/>
    </row>
    <row r="3" spans="1:13" x14ac:dyDescent="0.25">
      <c r="B3" s="1325" t="s">
        <v>569</v>
      </c>
      <c r="C3" s="1325"/>
      <c r="D3" s="1325"/>
      <c r="E3" s="1325"/>
      <c r="F3" s="1325"/>
      <c r="G3" s="1325"/>
      <c r="H3" s="385"/>
      <c r="J3"/>
      <c r="K3"/>
      <c r="L3"/>
    </row>
    <row r="4" spans="1:13" x14ac:dyDescent="0.25">
      <c r="B4" s="1325" t="str">
        <f>'AH-1'!B4</f>
        <v xml:space="preserve"> 12 Months Ending December 31, 2025</v>
      </c>
      <c r="C4" s="1325"/>
      <c r="D4" s="1325"/>
      <c r="E4" s="1325"/>
      <c r="F4" s="1325"/>
      <c r="G4" s="1325"/>
      <c r="H4" s="385"/>
    </row>
    <row r="5" spans="1:13" x14ac:dyDescent="0.25">
      <c r="B5" s="1326" t="s">
        <v>4</v>
      </c>
      <c r="C5" s="1326"/>
      <c r="D5" s="1326"/>
      <c r="E5" s="1326"/>
      <c r="F5" s="1326"/>
      <c r="G5" s="1326"/>
      <c r="H5" s="385"/>
    </row>
    <row r="6" spans="1:13" ht="16.5" thickBot="1" x14ac:dyDescent="0.3">
      <c r="D6" s="876"/>
      <c r="E6" s="876"/>
      <c r="F6" s="876"/>
      <c r="G6" s="876"/>
      <c r="J6" s="31"/>
    </row>
    <row r="7" spans="1:13" x14ac:dyDescent="0.25">
      <c r="A7" s="385"/>
      <c r="B7" s="386"/>
      <c r="C7" s="387"/>
      <c r="D7" s="388" t="s">
        <v>187</v>
      </c>
      <c r="E7" s="389" t="s">
        <v>188</v>
      </c>
      <c r="F7" s="388" t="s">
        <v>495</v>
      </c>
      <c r="G7" s="390"/>
      <c r="H7" s="385"/>
    </row>
    <row r="8" spans="1:13" x14ac:dyDescent="0.25">
      <c r="A8" s="106" t="s">
        <v>5</v>
      </c>
      <c r="B8" s="391" t="s">
        <v>453</v>
      </c>
      <c r="C8" s="279"/>
      <c r="D8" s="667" t="s">
        <v>180</v>
      </c>
      <c r="E8" s="385" t="s">
        <v>496</v>
      </c>
      <c r="F8" s="667" t="s">
        <v>180</v>
      </c>
      <c r="G8" s="392"/>
      <c r="H8" s="106" t="s">
        <v>5</v>
      </c>
    </row>
    <row r="9" spans="1:13" ht="16.5" thickBot="1" x14ac:dyDescent="0.3">
      <c r="A9" s="106" t="s">
        <v>6</v>
      </c>
      <c r="B9" s="393" t="s">
        <v>497</v>
      </c>
      <c r="C9" s="874" t="s">
        <v>311</v>
      </c>
      <c r="D9" s="394" t="s">
        <v>498</v>
      </c>
      <c r="E9" s="874" t="s">
        <v>499</v>
      </c>
      <c r="F9" s="394" t="s">
        <v>500</v>
      </c>
      <c r="G9" s="668" t="s">
        <v>8</v>
      </c>
      <c r="H9" s="106" t="s">
        <v>6</v>
      </c>
      <c r="I9" s="106"/>
    </row>
    <row r="10" spans="1:13" x14ac:dyDescent="0.25">
      <c r="B10" s="395"/>
      <c r="C10" s="396" t="s">
        <v>570</v>
      </c>
      <c r="D10" s="669"/>
      <c r="E10" s="669"/>
      <c r="F10" s="670"/>
      <c r="G10" s="401"/>
    </row>
    <row r="11" spans="1:13" x14ac:dyDescent="0.25">
      <c r="A11" s="106">
        <v>1</v>
      </c>
      <c r="B11" s="395">
        <v>920</v>
      </c>
      <c r="C11" s="397" t="s">
        <v>571</v>
      </c>
      <c r="D11" s="231">
        <v>54244.899720000001</v>
      </c>
      <c r="E11" s="231">
        <f>E30</f>
        <v>200.64497</v>
      </c>
      <c r="F11" s="231">
        <f>D11-E11</f>
        <v>54044.25475</v>
      </c>
      <c r="G11" s="368" t="s">
        <v>572</v>
      </c>
      <c r="H11" s="106">
        <f>A11</f>
        <v>1</v>
      </c>
      <c r="I11" s="105" t="s">
        <v>1</v>
      </c>
      <c r="J11" s="2"/>
    </row>
    <row r="12" spans="1:13" x14ac:dyDescent="0.25">
      <c r="A12" s="106">
        <f t="shared" ref="A12:A26" si="0">A11+1</f>
        <v>2</v>
      </c>
      <c r="B12" s="395">
        <v>921</v>
      </c>
      <c r="C12" s="397" t="s">
        <v>573</v>
      </c>
      <c r="D12" s="232">
        <v>31118.153999999999</v>
      </c>
      <c r="E12" s="6">
        <f>E31</f>
        <v>69.222690000000014</v>
      </c>
      <c r="F12" s="232">
        <f>D12-E12</f>
        <v>31048.93131</v>
      </c>
      <c r="G12" s="368" t="s">
        <v>574</v>
      </c>
      <c r="H12" s="106">
        <f t="shared" ref="H12:H26" si="1">H11+1</f>
        <v>2</v>
      </c>
      <c r="J12" s="2"/>
      <c r="K12" s="398"/>
    </row>
    <row r="13" spans="1:13" x14ac:dyDescent="0.25">
      <c r="A13" s="106">
        <f t="shared" si="0"/>
        <v>3</v>
      </c>
      <c r="B13" s="395">
        <v>922</v>
      </c>
      <c r="C13" s="397" t="s">
        <v>575</v>
      </c>
      <c r="D13" s="232">
        <v>-11800.006700000002</v>
      </c>
      <c r="E13" s="6"/>
      <c r="F13" s="232">
        <f>D13-E13</f>
        <v>-11800.006700000002</v>
      </c>
      <c r="G13" s="368" t="s">
        <v>576</v>
      </c>
      <c r="H13" s="106">
        <f t="shared" si="1"/>
        <v>3</v>
      </c>
      <c r="J13" s="2"/>
    </row>
    <row r="14" spans="1:13" x14ac:dyDescent="0.25">
      <c r="A14" s="106">
        <f t="shared" si="0"/>
        <v>4</v>
      </c>
      <c r="B14" s="395">
        <v>923</v>
      </c>
      <c r="C14" s="397" t="s">
        <v>577</v>
      </c>
      <c r="D14" s="232">
        <v>135103.70300000001</v>
      </c>
      <c r="E14" s="6">
        <f>E32</f>
        <v>77.872519999999994</v>
      </c>
      <c r="F14" s="232">
        <f>D14-E14</f>
        <v>135025.83048</v>
      </c>
      <c r="G14" s="368" t="s">
        <v>578</v>
      </c>
      <c r="H14" s="106">
        <f t="shared" si="1"/>
        <v>4</v>
      </c>
      <c r="J14"/>
      <c r="K14"/>
      <c r="L14"/>
      <c r="M14"/>
    </row>
    <row r="15" spans="1:13" x14ac:dyDescent="0.25">
      <c r="A15" s="106">
        <f t="shared" si="0"/>
        <v>5</v>
      </c>
      <c r="B15" s="395">
        <v>924</v>
      </c>
      <c r="C15" s="397" t="s">
        <v>579</v>
      </c>
      <c r="D15" s="232">
        <v>10560.587149999999</v>
      </c>
      <c r="E15" s="6"/>
      <c r="F15" s="232">
        <f t="shared" ref="F15:F16" si="2">D15-E15</f>
        <v>10560.587149999999</v>
      </c>
      <c r="G15" s="368" t="s">
        <v>580</v>
      </c>
      <c r="H15" s="106">
        <f t="shared" si="1"/>
        <v>5</v>
      </c>
      <c r="J15"/>
      <c r="K15"/>
      <c r="L15"/>
      <c r="M15"/>
    </row>
    <row r="16" spans="1:13" x14ac:dyDescent="0.25">
      <c r="A16" s="106">
        <f t="shared" si="0"/>
        <v>6</v>
      </c>
      <c r="B16" s="395">
        <v>925</v>
      </c>
      <c r="C16" s="397" t="s">
        <v>581</v>
      </c>
      <c r="D16" s="232">
        <v>164317.84099999999</v>
      </c>
      <c r="E16" s="6">
        <f>E33</f>
        <v>604.99526142399998</v>
      </c>
      <c r="F16" s="232">
        <f t="shared" si="2"/>
        <v>163712.845738576</v>
      </c>
      <c r="G16" s="368" t="s">
        <v>582</v>
      </c>
      <c r="H16" s="106">
        <f t="shared" si="1"/>
        <v>6</v>
      </c>
      <c r="J16" s="2"/>
    </row>
    <row r="17" spans="1:10" ht="18.75" x14ac:dyDescent="0.25">
      <c r="A17" s="106">
        <f t="shared" si="0"/>
        <v>7</v>
      </c>
      <c r="B17" s="395">
        <v>926</v>
      </c>
      <c r="C17" s="397" t="s">
        <v>583</v>
      </c>
      <c r="D17" s="232">
        <v>67896.554000000004</v>
      </c>
      <c r="E17" s="6">
        <f>E34</f>
        <v>1217.058473237</v>
      </c>
      <c r="F17" s="232">
        <f>D17-E17</f>
        <v>66679.495526762999</v>
      </c>
      <c r="G17" s="368" t="s">
        <v>584</v>
      </c>
      <c r="H17" s="106">
        <f t="shared" si="1"/>
        <v>7</v>
      </c>
      <c r="J17" s="2"/>
    </row>
    <row r="18" spans="1:10" x14ac:dyDescent="0.25">
      <c r="A18" s="106">
        <f t="shared" si="0"/>
        <v>8</v>
      </c>
      <c r="B18" s="395">
        <v>927</v>
      </c>
      <c r="C18" s="397" t="s">
        <v>585</v>
      </c>
      <c r="D18" s="900">
        <v>118730.139</v>
      </c>
      <c r="E18" s="232">
        <f>E35</f>
        <v>115768.47434</v>
      </c>
      <c r="F18" s="232">
        <f t="shared" ref="F18:F20" si="3">D18-E18</f>
        <v>2961.6646599999949</v>
      </c>
      <c r="G18" s="368" t="s">
        <v>586</v>
      </c>
      <c r="H18" s="106">
        <f t="shared" si="1"/>
        <v>8</v>
      </c>
      <c r="J18" s="2"/>
    </row>
    <row r="19" spans="1:10" ht="18.75" x14ac:dyDescent="0.25">
      <c r="A19" s="106">
        <f t="shared" si="0"/>
        <v>9</v>
      </c>
      <c r="B19" s="395">
        <v>928</v>
      </c>
      <c r="C19" s="397" t="s">
        <v>587</v>
      </c>
      <c r="D19" s="232">
        <v>27648.17352</v>
      </c>
      <c r="E19" s="6">
        <f>E41</f>
        <v>15062.920679999999</v>
      </c>
      <c r="F19" s="232">
        <f t="shared" si="3"/>
        <v>12585.252840000001</v>
      </c>
      <c r="G19" s="368" t="s">
        <v>588</v>
      </c>
      <c r="H19" s="106">
        <f t="shared" si="1"/>
        <v>9</v>
      </c>
      <c r="J19" s="2"/>
    </row>
    <row r="20" spans="1:10" x14ac:dyDescent="0.25">
      <c r="A20" s="106">
        <f t="shared" si="0"/>
        <v>10</v>
      </c>
      <c r="B20" s="395">
        <v>929</v>
      </c>
      <c r="C20" s="397" t="s">
        <v>589</v>
      </c>
      <c r="D20" s="232">
        <v>-6961.7256699999998</v>
      </c>
      <c r="E20" s="6">
        <f>E42</f>
        <v>0</v>
      </c>
      <c r="F20" s="232">
        <f t="shared" si="3"/>
        <v>-6961.7256699999998</v>
      </c>
      <c r="G20" s="368" t="s">
        <v>590</v>
      </c>
      <c r="H20" s="106">
        <f t="shared" si="1"/>
        <v>10</v>
      </c>
      <c r="J20" s="2"/>
    </row>
    <row r="21" spans="1:10" x14ac:dyDescent="0.25">
      <c r="A21" s="106">
        <f>A20+1</f>
        <v>11</v>
      </c>
      <c r="B21" s="399">
        <v>930.1</v>
      </c>
      <c r="C21" s="397" t="s">
        <v>591</v>
      </c>
      <c r="D21" s="232">
        <v>610.74800000000005</v>
      </c>
      <c r="E21" s="6">
        <f>E43</f>
        <v>610.74929000000009</v>
      </c>
      <c r="F21" s="232">
        <f>D21-E21</f>
        <v>-1.2900000000399814E-3</v>
      </c>
      <c r="G21" s="368" t="s">
        <v>592</v>
      </c>
      <c r="H21" s="106">
        <f>H20+1</f>
        <v>11</v>
      </c>
      <c r="J21" s="2"/>
    </row>
    <row r="22" spans="1:10" x14ac:dyDescent="0.25">
      <c r="A22" s="106">
        <f>A21+1</f>
        <v>12</v>
      </c>
      <c r="B22" s="399">
        <v>930.2</v>
      </c>
      <c r="C22" s="397" t="s">
        <v>593</v>
      </c>
      <c r="D22" s="232">
        <v>8280.4978900000024</v>
      </c>
      <c r="E22" s="6">
        <f>E46</f>
        <v>2331.2681499999999</v>
      </c>
      <c r="F22" s="232">
        <f t="shared" ref="F22" si="4">D22-E22</f>
        <v>5949.2297400000025</v>
      </c>
      <c r="G22" s="368" t="s">
        <v>594</v>
      </c>
      <c r="H22" s="106">
        <f>H21+1</f>
        <v>12</v>
      </c>
      <c r="J22" s="2"/>
    </row>
    <row r="23" spans="1:10" x14ac:dyDescent="0.25">
      <c r="A23" s="106">
        <f t="shared" si="0"/>
        <v>13</v>
      </c>
      <c r="B23" s="395">
        <v>931</v>
      </c>
      <c r="C23" s="397" t="s">
        <v>530</v>
      </c>
      <c r="D23" s="232">
        <v>13844.715860000004</v>
      </c>
      <c r="E23" s="6">
        <f>E47</f>
        <v>538.89701000000002</v>
      </c>
      <c r="F23" s="232">
        <f>D23-E23</f>
        <v>13305.818850000003</v>
      </c>
      <c r="G23" s="368" t="s">
        <v>595</v>
      </c>
      <c r="H23" s="106">
        <f t="shared" si="1"/>
        <v>13</v>
      </c>
      <c r="J23" s="2"/>
    </row>
    <row r="24" spans="1:10" x14ac:dyDescent="0.25">
      <c r="A24" s="106">
        <f t="shared" si="0"/>
        <v>14</v>
      </c>
      <c r="B24" s="395">
        <v>935</v>
      </c>
      <c r="C24" s="397" t="s">
        <v>596</v>
      </c>
      <c r="D24" s="93">
        <v>16460.331999999999</v>
      </c>
      <c r="E24" s="875">
        <f>E49</f>
        <v>32.122929999999997</v>
      </c>
      <c r="F24" s="93">
        <f>D24-E24</f>
        <v>16428.209069999997</v>
      </c>
      <c r="G24" s="570" t="s">
        <v>597</v>
      </c>
      <c r="H24" s="106">
        <f t="shared" si="1"/>
        <v>14</v>
      </c>
      <c r="I24" s="105" t="s">
        <v>1</v>
      </c>
      <c r="J24" s="2"/>
    </row>
    <row r="25" spans="1:10" x14ac:dyDescent="0.25">
      <c r="A25" s="106">
        <f>A24+1</f>
        <v>15</v>
      </c>
      <c r="B25" s="395"/>
      <c r="D25" s="671"/>
      <c r="F25" s="671"/>
      <c r="G25" s="400"/>
      <c r="H25" s="106">
        <f>H24+1</f>
        <v>15</v>
      </c>
    </row>
    <row r="26" spans="1:10" ht="16.5" thickBot="1" x14ac:dyDescent="0.3">
      <c r="A26" s="106">
        <f t="shared" si="0"/>
        <v>16</v>
      </c>
      <c r="B26" s="395"/>
      <c r="C26" s="279" t="s">
        <v>598</v>
      </c>
      <c r="D26" s="98">
        <f>SUM(D11:D24)</f>
        <v>630054.61277000001</v>
      </c>
      <c r="E26" s="102">
        <f>SUM(E11:E24)</f>
        <v>136514.22631466101</v>
      </c>
      <c r="F26" s="98">
        <f>SUM(F11:F24)</f>
        <v>493540.38645533897</v>
      </c>
      <c r="G26" s="401" t="str">
        <f>"Sum Lines "&amp;A11&amp;" thru "&amp;A24</f>
        <v>Sum Lines 1 thru 14</v>
      </c>
      <c r="H26" s="106">
        <f t="shared" si="1"/>
        <v>16</v>
      </c>
    </row>
    <row r="27" spans="1:10" ht="17.25" thickTop="1" thickBot="1" x14ac:dyDescent="0.3">
      <c r="A27" s="106">
        <f>A26+1</f>
        <v>17</v>
      </c>
      <c r="B27" s="402"/>
      <c r="C27" s="876"/>
      <c r="D27" s="103"/>
      <c r="E27" s="104"/>
      <c r="F27" s="104"/>
      <c r="G27" s="633"/>
      <c r="H27" s="106">
        <f>H26+1</f>
        <v>17</v>
      </c>
    </row>
    <row r="28" spans="1:10" x14ac:dyDescent="0.25">
      <c r="A28" s="106">
        <f>A27+1</f>
        <v>18</v>
      </c>
      <c r="B28" s="1151"/>
      <c r="C28" s="1152"/>
      <c r="D28" s="1152"/>
      <c r="E28" s="1152"/>
      <c r="F28" s="1152"/>
      <c r="G28" s="1153"/>
      <c r="H28" s="106">
        <f>H27+1</f>
        <v>18</v>
      </c>
    </row>
    <row r="29" spans="1:10" x14ac:dyDescent="0.25">
      <c r="A29" s="106">
        <f t="shared" ref="A29:A55" si="5">A28+1</f>
        <v>19</v>
      </c>
      <c r="B29" s="404" t="s">
        <v>599</v>
      </c>
      <c r="C29" s="106"/>
      <c r="D29" s="106"/>
      <c r="E29" s="106"/>
      <c r="F29" s="106"/>
      <c r="G29" s="400"/>
      <c r="H29" s="106">
        <f>H28+1</f>
        <v>19</v>
      </c>
    </row>
    <row r="30" spans="1:10" x14ac:dyDescent="0.25">
      <c r="A30" s="106">
        <f t="shared" si="5"/>
        <v>20</v>
      </c>
      <c r="B30" s="632">
        <v>920</v>
      </c>
      <c r="C30" s="397" t="s">
        <v>600</v>
      </c>
      <c r="D30" s="106"/>
      <c r="E30" s="1163">
        <v>200.64497</v>
      </c>
      <c r="F30" s="106"/>
      <c r="G30" s="400"/>
      <c r="H30" s="106">
        <f t="shared" ref="H30:H55" si="6">H29+1</f>
        <v>20</v>
      </c>
    </row>
    <row r="31" spans="1:10" x14ac:dyDescent="0.25">
      <c r="A31" s="106">
        <f t="shared" si="5"/>
        <v>21</v>
      </c>
      <c r="B31" s="632">
        <v>921</v>
      </c>
      <c r="C31" s="397" t="s">
        <v>600</v>
      </c>
      <c r="D31" s="106"/>
      <c r="E31" s="902">
        <v>69.222690000000014</v>
      </c>
      <c r="F31" s="106"/>
      <c r="G31" s="400"/>
      <c r="H31" s="106">
        <f t="shared" si="6"/>
        <v>21</v>
      </c>
    </row>
    <row r="32" spans="1:10" x14ac:dyDescent="0.25">
      <c r="A32" s="106">
        <f t="shared" si="5"/>
        <v>22</v>
      </c>
      <c r="B32" s="632">
        <v>923</v>
      </c>
      <c r="C32" s="397" t="s">
        <v>600</v>
      </c>
      <c r="D32" s="106"/>
      <c r="E32" s="902">
        <v>77.872519999999994</v>
      </c>
      <c r="F32" s="106"/>
      <c r="G32" s="400"/>
      <c r="H32" s="106">
        <f t="shared" si="6"/>
        <v>22</v>
      </c>
    </row>
    <row r="33" spans="1:21" x14ac:dyDescent="0.25">
      <c r="A33" s="106">
        <f t="shared" si="5"/>
        <v>23</v>
      </c>
      <c r="B33" s="632">
        <v>925</v>
      </c>
      <c r="C33" s="397" t="s">
        <v>600</v>
      </c>
      <c r="E33" s="1163">
        <v>604.99526142399998</v>
      </c>
      <c r="F33" s="106"/>
      <c r="G33" s="400"/>
      <c r="H33" s="106">
        <f t="shared" si="6"/>
        <v>23</v>
      </c>
      <c r="J33"/>
      <c r="K33"/>
      <c r="L33"/>
      <c r="M33"/>
    </row>
    <row r="34" spans="1:21" x14ac:dyDescent="0.25">
      <c r="A34" s="106">
        <f t="shared" si="5"/>
        <v>24</v>
      </c>
      <c r="B34" s="632">
        <v>926</v>
      </c>
      <c r="C34" s="1156" t="s">
        <v>600</v>
      </c>
      <c r="D34"/>
      <c r="E34" s="902">
        <v>1217.058473237</v>
      </c>
      <c r="F34" s="106"/>
      <c r="G34" s="400"/>
      <c r="H34" s="106">
        <f t="shared" si="6"/>
        <v>24</v>
      </c>
      <c r="J34"/>
      <c r="K34"/>
      <c r="L34"/>
      <c r="M34"/>
    </row>
    <row r="35" spans="1:21" x14ac:dyDescent="0.25">
      <c r="A35" s="106">
        <f t="shared" si="5"/>
        <v>25</v>
      </c>
      <c r="B35" s="630">
        <v>927</v>
      </c>
      <c r="C35" s="1156" t="s">
        <v>585</v>
      </c>
      <c r="D35" s="1154"/>
      <c r="E35" s="902">
        <v>115768.47434</v>
      </c>
      <c r="F35" s="106"/>
      <c r="G35" s="400"/>
      <c r="H35" s="106">
        <f t="shared" si="6"/>
        <v>25</v>
      </c>
    </row>
    <row r="36" spans="1:21" x14ac:dyDescent="0.25">
      <c r="A36" s="106">
        <f t="shared" si="5"/>
        <v>26</v>
      </c>
      <c r="B36" s="632">
        <v>928</v>
      </c>
      <c r="C36" s="397" t="s">
        <v>601</v>
      </c>
      <c r="D36" s="1163">
        <v>13845.17073</v>
      </c>
      <c r="E36" s="106"/>
      <c r="F36" s="106"/>
      <c r="G36" s="400"/>
      <c r="H36" s="106">
        <f t="shared" si="6"/>
        <v>26</v>
      </c>
      <c r="J36" s="901"/>
    </row>
    <row r="37" spans="1:21" x14ac:dyDescent="0.25">
      <c r="A37" s="106">
        <f t="shared" si="5"/>
        <v>27</v>
      </c>
      <c r="B37" s="632"/>
      <c r="C37" s="397" t="s">
        <v>602</v>
      </c>
      <c r="D37" s="1154">
        <v>-2.9605100000000002</v>
      </c>
      <c r="E37" s="106"/>
      <c r="F37" s="106"/>
      <c r="G37" s="400"/>
      <c r="H37" s="106">
        <f t="shared" si="6"/>
        <v>27</v>
      </c>
      <c r="J37" s="901"/>
    </row>
    <row r="38" spans="1:21" x14ac:dyDescent="0.25">
      <c r="A38" s="106">
        <f t="shared" si="5"/>
        <v>28</v>
      </c>
      <c r="B38" s="632"/>
      <c r="C38" s="397" t="s">
        <v>600</v>
      </c>
      <c r="D38" s="1154">
        <v>-71.05686</v>
      </c>
      <c r="E38" s="106"/>
      <c r="F38" s="106"/>
      <c r="G38" s="400"/>
      <c r="H38" s="106">
        <f t="shared" si="6"/>
        <v>28</v>
      </c>
    </row>
    <row r="39" spans="1:21" x14ac:dyDescent="0.25">
      <c r="A39" s="106">
        <f t="shared" si="5"/>
        <v>29</v>
      </c>
      <c r="B39" s="632"/>
      <c r="C39" s="397" t="s">
        <v>1837</v>
      </c>
      <c r="D39" s="1154">
        <f>277.33454+471.28735</f>
        <v>748.62189000000001</v>
      </c>
      <c r="E39" s="106"/>
      <c r="F39" s="106"/>
      <c r="G39" s="400"/>
      <c r="H39" s="106">
        <f t="shared" si="6"/>
        <v>29</v>
      </c>
      <c r="J39" s="1213"/>
    </row>
    <row r="40" spans="1:21" x14ac:dyDescent="0.25">
      <c r="A40" s="106">
        <f t="shared" si="5"/>
        <v>30</v>
      </c>
      <c r="B40" s="632"/>
      <c r="C40" s="1157" t="s">
        <v>12</v>
      </c>
      <c r="D40" s="906">
        <v>0</v>
      </c>
      <c r="E40" s="106"/>
      <c r="F40" s="106"/>
      <c r="G40" s="400"/>
      <c r="H40" s="106">
        <f t="shared" si="6"/>
        <v>30</v>
      </c>
      <c r="J40"/>
      <c r="K40"/>
      <c r="L40"/>
      <c r="M40"/>
      <c r="N40"/>
      <c r="O40"/>
      <c r="P40"/>
      <c r="Q40"/>
      <c r="R40"/>
      <c r="S40"/>
      <c r="T40"/>
      <c r="U40"/>
    </row>
    <row r="41" spans="1:21" x14ac:dyDescent="0.25">
      <c r="A41" s="106">
        <f t="shared" si="5"/>
        <v>31</v>
      </c>
      <c r="B41" s="632"/>
      <c r="C41" s="1157" t="s">
        <v>603</v>
      </c>
      <c r="D41" s="1089">
        <v>543.14542999999992</v>
      </c>
      <c r="E41" s="1154">
        <f>SUM(D36:D41)</f>
        <v>15062.920679999999</v>
      </c>
      <c r="F41" s="106"/>
      <c r="G41" s="400"/>
      <c r="H41" s="106">
        <f t="shared" si="6"/>
        <v>31</v>
      </c>
      <c r="J41" s="1198"/>
      <c r="K41"/>
      <c r="L41"/>
      <c r="M41"/>
      <c r="N41"/>
      <c r="O41"/>
      <c r="P41"/>
      <c r="Q41"/>
      <c r="R41"/>
      <c r="S41"/>
      <c r="T41"/>
      <c r="U41"/>
    </row>
    <row r="42" spans="1:21" x14ac:dyDescent="0.25">
      <c r="A42" s="106">
        <f t="shared" si="5"/>
        <v>32</v>
      </c>
      <c r="B42" s="632">
        <v>929</v>
      </c>
      <c r="C42" s="1157" t="s">
        <v>1459</v>
      </c>
      <c r="D42" s="1154"/>
      <c r="E42" s="1154">
        <v>0</v>
      </c>
      <c r="F42" s="106"/>
      <c r="G42" s="400"/>
      <c r="H42" s="106">
        <f t="shared" si="6"/>
        <v>32</v>
      </c>
      <c r="J42"/>
      <c r="K42"/>
      <c r="L42"/>
      <c r="M42"/>
      <c r="N42"/>
      <c r="O42"/>
      <c r="P42"/>
      <c r="Q42"/>
      <c r="R42"/>
      <c r="S42"/>
      <c r="T42"/>
      <c r="U42"/>
    </row>
    <row r="43" spans="1:21" x14ac:dyDescent="0.25">
      <c r="A43" s="106">
        <f t="shared" si="5"/>
        <v>33</v>
      </c>
      <c r="B43" s="631">
        <v>930.1</v>
      </c>
      <c r="C43" s="1157" t="s">
        <v>591</v>
      </c>
      <c r="D43" s="1154"/>
      <c r="E43" s="902">
        <v>610.74929000000009</v>
      </c>
      <c r="F43" s="106"/>
      <c r="G43" s="400"/>
      <c r="H43" s="106">
        <f t="shared" si="6"/>
        <v>33</v>
      </c>
      <c r="J43"/>
      <c r="K43"/>
    </row>
    <row r="44" spans="1:21" x14ac:dyDescent="0.25">
      <c r="A44" s="106">
        <f t="shared" si="5"/>
        <v>34</v>
      </c>
      <c r="B44" s="877">
        <v>930.2</v>
      </c>
      <c r="C44" s="1156" t="s">
        <v>604</v>
      </c>
      <c r="D44" s="902">
        <v>68.272149999999996</v>
      </c>
      <c r="F44" s="106"/>
      <c r="G44" s="400"/>
      <c r="H44" s="106">
        <f t="shared" si="6"/>
        <v>34</v>
      </c>
      <c r="J44"/>
      <c r="K44"/>
    </row>
    <row r="45" spans="1:21" x14ac:dyDescent="0.25">
      <c r="A45" s="106">
        <f t="shared" si="5"/>
        <v>35</v>
      </c>
      <c r="B45" s="877"/>
      <c r="C45" s="1156" t="s">
        <v>600</v>
      </c>
      <c r="D45" s="902">
        <v>203.24</v>
      </c>
      <c r="F45" s="106"/>
      <c r="G45" s="400"/>
      <c r="H45" s="106">
        <f t="shared" si="6"/>
        <v>35</v>
      </c>
      <c r="J45"/>
      <c r="K45"/>
    </row>
    <row r="46" spans="1:21" x14ac:dyDescent="0.25">
      <c r="A46" s="106">
        <f t="shared" si="5"/>
        <v>36</v>
      </c>
      <c r="B46" s="877"/>
      <c r="C46" s="1283" t="s">
        <v>1940</v>
      </c>
      <c r="D46" s="1284">
        <v>2059.7559999999999</v>
      </c>
      <c r="E46" s="902">
        <f>SUM(D44:D46)</f>
        <v>2331.2681499999999</v>
      </c>
      <c r="F46" s="106"/>
      <c r="G46" s="400"/>
      <c r="H46" s="106">
        <f t="shared" si="6"/>
        <v>36</v>
      </c>
      <c r="J46" s="1213"/>
      <c r="K46"/>
    </row>
    <row r="47" spans="1:21" x14ac:dyDescent="0.25">
      <c r="A47" s="106">
        <f t="shared" si="5"/>
        <v>37</v>
      </c>
      <c r="B47" s="632">
        <v>931</v>
      </c>
      <c r="C47" s="1156" t="s">
        <v>600</v>
      </c>
      <c r="D47" s="1282"/>
      <c r="E47" s="902">
        <v>538.89701000000002</v>
      </c>
      <c r="F47" s="106"/>
      <c r="G47" s="400"/>
      <c r="H47" s="106">
        <f t="shared" si="6"/>
        <v>37</v>
      </c>
      <c r="J47"/>
      <c r="K47"/>
    </row>
    <row r="48" spans="1:21" x14ac:dyDescent="0.25">
      <c r="A48" s="106">
        <f t="shared" si="5"/>
        <v>38</v>
      </c>
      <c r="B48" s="632">
        <v>935</v>
      </c>
      <c r="C48" s="397" t="s">
        <v>605</v>
      </c>
      <c r="D48" s="906">
        <v>0</v>
      </c>
      <c r="F48" s="106"/>
      <c r="G48" s="400"/>
      <c r="H48" s="106">
        <f t="shared" si="6"/>
        <v>38</v>
      </c>
    </row>
    <row r="49" spans="1:10" x14ac:dyDescent="0.25">
      <c r="A49" s="106">
        <f t="shared" si="5"/>
        <v>39</v>
      </c>
      <c r="B49" s="632"/>
      <c r="C49" s="397" t="s">
        <v>1837</v>
      </c>
      <c r="D49" s="1089">
        <v>32.122929999999997</v>
      </c>
      <c r="E49" s="903">
        <f>+D48+D49</f>
        <v>32.122929999999997</v>
      </c>
      <c r="F49" s="106"/>
      <c r="G49" s="400"/>
      <c r="H49" s="106">
        <f t="shared" si="6"/>
        <v>39</v>
      </c>
      <c r="J49" s="1213"/>
    </row>
    <row r="50" spans="1:10" x14ac:dyDescent="0.25">
      <c r="A50" s="106">
        <f t="shared" si="5"/>
        <v>40</v>
      </c>
      <c r="B50" s="632"/>
      <c r="C50" s="1158"/>
      <c r="D50" s="1159"/>
      <c r="E50" s="6"/>
      <c r="G50" s="400"/>
      <c r="H50" s="106">
        <f t="shared" si="6"/>
        <v>40</v>
      </c>
    </row>
    <row r="51" spans="1:10" ht="16.5" thickBot="1" x14ac:dyDescent="0.3">
      <c r="A51" s="106">
        <f t="shared" si="5"/>
        <v>41</v>
      </c>
      <c r="B51" s="403"/>
      <c r="C51" s="1160" t="s">
        <v>568</v>
      </c>
      <c r="D51" s="1161"/>
      <c r="E51" s="101">
        <f>SUM(E30:E49)</f>
        <v>136514.22631466101</v>
      </c>
      <c r="F51" s="107"/>
      <c r="G51" s="400"/>
      <c r="H51" s="106">
        <f t="shared" si="6"/>
        <v>41</v>
      </c>
    </row>
    <row r="52" spans="1:10" ht="16.5" thickTop="1" x14ac:dyDescent="0.25">
      <c r="A52" s="106">
        <f t="shared" si="5"/>
        <v>42</v>
      </c>
      <c r="B52" s="403"/>
      <c r="C52" s="1160"/>
      <c r="D52" s="1161"/>
      <c r="E52" s="43"/>
      <c r="F52" s="107"/>
      <c r="G52" s="400"/>
      <c r="H52" s="106">
        <f t="shared" si="6"/>
        <v>42</v>
      </c>
    </row>
    <row r="53" spans="1:10" x14ac:dyDescent="0.25">
      <c r="A53" s="106">
        <f t="shared" si="5"/>
        <v>43</v>
      </c>
      <c r="B53" s="403"/>
      <c r="C53" s="1160"/>
      <c r="E53" s="43"/>
      <c r="F53" s="1"/>
      <c r="G53" s="400"/>
      <c r="H53" s="106">
        <f t="shared" si="6"/>
        <v>43</v>
      </c>
    </row>
    <row r="54" spans="1:10" ht="18.75" x14ac:dyDescent="0.25">
      <c r="A54" s="106">
        <f t="shared" si="5"/>
        <v>44</v>
      </c>
      <c r="B54" s="405">
        <v>1</v>
      </c>
      <c r="C54" s="31" t="s">
        <v>2060</v>
      </c>
      <c r="E54" s="43"/>
      <c r="F54" s="1"/>
      <c r="G54" s="400"/>
      <c r="H54" s="106">
        <f t="shared" si="6"/>
        <v>44</v>
      </c>
    </row>
    <row r="55" spans="1:10" ht="16.5" thickBot="1" x14ac:dyDescent="0.3">
      <c r="A55" s="106">
        <f t="shared" si="5"/>
        <v>45</v>
      </c>
      <c r="B55" s="406"/>
      <c r="C55" s="878"/>
      <c r="D55" s="876"/>
      <c r="E55" s="876"/>
      <c r="F55" s="876"/>
      <c r="G55" s="633"/>
      <c r="H55" s="106">
        <f t="shared" si="6"/>
        <v>45</v>
      </c>
    </row>
    <row r="56" spans="1:10" x14ac:dyDescent="0.25">
      <c r="A56" s="385"/>
      <c r="C56" s="397"/>
      <c r="D56" s="407"/>
      <c r="E56" s="407"/>
    </row>
    <row r="57" spans="1:10" ht="18.75" x14ac:dyDescent="0.25">
      <c r="A57" s="408"/>
      <c r="C57" s="397"/>
    </row>
    <row r="58" spans="1:10" ht="18.75" x14ac:dyDescent="0.25">
      <c r="A58" s="408"/>
      <c r="C58" s="397"/>
    </row>
    <row r="59" spans="1:10" ht="18.75" x14ac:dyDescent="0.25">
      <c r="A59" s="408"/>
      <c r="C59" s="397"/>
    </row>
    <row r="60" spans="1:10" ht="18.75" x14ac:dyDescent="0.25">
      <c r="A60" s="408"/>
      <c r="C60" s="397"/>
    </row>
    <row r="61" spans="1:10" ht="18.75" x14ac:dyDescent="0.25">
      <c r="A61" s="408"/>
      <c r="C61" s="397"/>
    </row>
    <row r="62" spans="1:10" ht="18.75" x14ac:dyDescent="0.25">
      <c r="A62" s="408"/>
      <c r="C62" s="397"/>
    </row>
    <row r="63" spans="1:10" x14ac:dyDescent="0.25">
      <c r="A63" s="385"/>
      <c r="C63" s="397"/>
    </row>
    <row r="64" spans="1:10" ht="18.75" x14ac:dyDescent="0.25">
      <c r="A64" s="408"/>
      <c r="C64" s="397"/>
    </row>
    <row r="65" spans="1:3" x14ac:dyDescent="0.25">
      <c r="A65" s="385"/>
      <c r="C65" s="397"/>
    </row>
    <row r="66" spans="1:3" ht="18.75" x14ac:dyDescent="0.25">
      <c r="A66" s="408"/>
      <c r="C66" s="397"/>
    </row>
    <row r="67" spans="1:3" x14ac:dyDescent="0.25">
      <c r="A67" s="385"/>
      <c r="C67" s="397"/>
    </row>
    <row r="68" spans="1:3" ht="18.75" x14ac:dyDescent="0.25">
      <c r="A68" s="408"/>
      <c r="C68" s="397"/>
    </row>
    <row r="69" spans="1:3" ht="18.75" x14ac:dyDescent="0.25">
      <c r="A69" s="408"/>
      <c r="B69" s="397"/>
    </row>
    <row r="70" spans="1:3" ht="18.75" x14ac:dyDescent="0.25">
      <c r="A70" s="408"/>
      <c r="B70" s="397"/>
    </row>
    <row r="71" spans="1:3" x14ac:dyDescent="0.25">
      <c r="B71" s="397"/>
    </row>
    <row r="72" spans="1:3" ht="18.75" x14ac:dyDescent="0.25">
      <c r="A72" s="408"/>
      <c r="B72" s="397"/>
    </row>
    <row r="73" spans="1:3" x14ac:dyDescent="0.25">
      <c r="A73" s="409"/>
      <c r="B73" s="279"/>
    </row>
    <row r="74" spans="1:3" x14ac:dyDescent="0.25">
      <c r="B74" s="397"/>
    </row>
  </sheetData>
  <mergeCells count="4">
    <mergeCell ref="B2:G2"/>
    <mergeCell ref="B3:G3"/>
    <mergeCell ref="B4:G4"/>
    <mergeCell ref="B5:G5"/>
  </mergeCells>
  <phoneticPr fontId="56" type="noConversion"/>
  <printOptions horizontalCentered="1"/>
  <pageMargins left="0.5" right="0.5" top="0.5" bottom="0.5" header="0.25" footer="0.25"/>
  <pageSetup scale="52" orientation="portrait" r:id="rId1"/>
  <headerFooter scaleWithDoc="0">
    <oddFooter xml:space="preserve">&amp;C&amp;"Times New Roman,Regular"&amp;10&amp;A
</oddFooter>
  </headerFooter>
  <rowBreaks count="1" manualBreakCount="1">
    <brk id="27" max="7" man="1"/>
  </rowBreaks>
  <customProperties>
    <customPr name="_pios_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L35"/>
  <sheetViews>
    <sheetView topLeftCell="A14" zoomScale="80" zoomScaleNormal="80" workbookViewId="0">
      <selection activeCell="B35" sqref="B35"/>
    </sheetView>
  </sheetViews>
  <sheetFormatPr defaultColWidth="8.7109375" defaultRowHeight="15.75" x14ac:dyDescent="0.25"/>
  <cols>
    <col min="1" max="1" width="5.28515625" style="4" customWidth="1"/>
    <col min="2" max="2" width="64.7109375" style="5" customWidth="1"/>
    <col min="3" max="3" width="21.28515625" style="31" customWidth="1"/>
    <col min="4" max="4" width="1.5703125" style="5" customWidth="1"/>
    <col min="5" max="5" width="16.7109375" style="5" customWidth="1"/>
    <col min="6" max="6" width="1.5703125" style="5" customWidth="1"/>
    <col min="7" max="7" width="34.5703125" style="5" customWidth="1"/>
    <col min="8" max="8" width="5.28515625" style="5" customWidth="1"/>
    <col min="9" max="9" width="8.7109375" style="5"/>
    <col min="10" max="10" width="20.42578125" style="881" bestFit="1" customWidth="1"/>
    <col min="11" max="16384" width="8.7109375" style="5"/>
  </cols>
  <sheetData>
    <row r="1" spans="1:12" x14ac:dyDescent="0.25">
      <c r="A1" s="414"/>
      <c r="B1" s="31"/>
      <c r="D1" s="31"/>
      <c r="E1" s="410"/>
      <c r="F1" s="411"/>
      <c r="G1" s="4"/>
      <c r="H1" s="4"/>
    </row>
    <row r="2" spans="1:12" x14ac:dyDescent="0.25">
      <c r="B2" s="1316" t="s">
        <v>0</v>
      </c>
      <c r="C2" s="1316"/>
      <c r="D2" s="1316"/>
      <c r="E2" s="1316"/>
      <c r="F2" s="1316"/>
      <c r="G2" s="1316"/>
      <c r="H2" s="4"/>
      <c r="J2"/>
      <c r="K2"/>
      <c r="L2"/>
    </row>
    <row r="3" spans="1:12" x14ac:dyDescent="0.25">
      <c r="B3" s="1316" t="s">
        <v>606</v>
      </c>
      <c r="C3" s="1316"/>
      <c r="D3" s="1316"/>
      <c r="E3" s="1316"/>
      <c r="F3" s="1316"/>
      <c r="G3" s="1316"/>
      <c r="H3" s="4"/>
      <c r="J3" s="899"/>
    </row>
    <row r="4" spans="1:12" x14ac:dyDescent="0.25">
      <c r="B4" s="1316" t="s">
        <v>607</v>
      </c>
      <c r="C4" s="1316"/>
      <c r="D4" s="1316"/>
      <c r="E4" s="1316"/>
      <c r="F4" s="1316"/>
      <c r="G4" s="1316"/>
      <c r="H4" s="4"/>
    </row>
    <row r="5" spans="1:12" x14ac:dyDescent="0.25">
      <c r="B5" s="1318" t="str">
        <f>'Stmt AD'!B5</f>
        <v>Base Period &amp; True-Up Period 12 - Months Ending December 31, 2025</v>
      </c>
      <c r="C5" s="1318"/>
      <c r="D5" s="1318"/>
      <c r="E5" s="1318"/>
      <c r="F5" s="1318"/>
      <c r="G5" s="1318"/>
      <c r="H5" s="4"/>
    </row>
    <row r="6" spans="1:12" x14ac:dyDescent="0.25">
      <c r="B6" s="1312" t="s">
        <v>4</v>
      </c>
      <c r="C6" s="1313"/>
      <c r="D6" s="1313"/>
      <c r="E6" s="1313"/>
      <c r="F6" s="1313"/>
      <c r="G6" s="1313"/>
      <c r="H6" s="4"/>
      <c r="J6"/>
      <c r="K6"/>
      <c r="L6"/>
    </row>
    <row r="7" spans="1:12" x14ac:dyDescent="0.25">
      <c r="B7" s="4"/>
      <c r="C7" s="4"/>
      <c r="D7" s="4"/>
      <c r="E7" s="4"/>
      <c r="F7" s="217"/>
      <c r="G7" s="4"/>
      <c r="H7" s="4"/>
    </row>
    <row r="8" spans="1:12" x14ac:dyDescent="0.25">
      <c r="A8" s="4" t="s">
        <v>5</v>
      </c>
      <c r="B8" s="217"/>
      <c r="C8" s="4" t="s">
        <v>210</v>
      </c>
      <c r="D8" s="217"/>
      <c r="E8" s="217"/>
      <c r="F8" s="217"/>
      <c r="G8" s="4"/>
      <c r="H8" s="4" t="s">
        <v>5</v>
      </c>
    </row>
    <row r="9" spans="1:12" x14ac:dyDescent="0.25">
      <c r="A9" s="4" t="s">
        <v>6</v>
      </c>
      <c r="B9" s="31"/>
      <c r="C9" s="848" t="s">
        <v>212</v>
      </c>
      <c r="D9" s="31"/>
      <c r="E9" s="849" t="s">
        <v>7</v>
      </c>
      <c r="F9" s="4"/>
      <c r="G9" s="848" t="s">
        <v>8</v>
      </c>
      <c r="H9" s="4" t="s">
        <v>6</v>
      </c>
    </row>
    <row r="10" spans="1:12" x14ac:dyDescent="0.25">
      <c r="B10" s="31"/>
      <c r="D10" s="31"/>
      <c r="E10" s="31"/>
      <c r="F10" s="4"/>
      <c r="G10" s="988"/>
      <c r="H10" s="4"/>
    </row>
    <row r="11" spans="1:12" x14ac:dyDescent="0.25">
      <c r="A11" s="4">
        <v>1</v>
      </c>
      <c r="B11" s="31" t="s">
        <v>608</v>
      </c>
      <c r="C11" s="46" t="s">
        <v>609</v>
      </c>
      <c r="D11" s="31"/>
      <c r="E11" s="40">
        <v>16769.105</v>
      </c>
      <c r="F11" s="41"/>
      <c r="G11" s="412"/>
      <c r="H11" s="4">
        <f>A11</f>
        <v>1</v>
      </c>
      <c r="K11" s="46"/>
    </row>
    <row r="12" spans="1:12" x14ac:dyDescent="0.25">
      <c r="A12" s="4">
        <f>+A11+1</f>
        <v>2</v>
      </c>
      <c r="B12" s="31"/>
      <c r="C12" s="46"/>
      <c r="D12" s="31"/>
      <c r="E12" s="70"/>
      <c r="F12" s="41"/>
      <c r="G12" s="413"/>
      <c r="H12" s="4">
        <f>+H11+1</f>
        <v>2</v>
      </c>
      <c r="K12" s="46"/>
    </row>
    <row r="13" spans="1:12" x14ac:dyDescent="0.25">
      <c r="A13" s="4">
        <f t="shared" ref="A13:A34" si="0">+A12+1</f>
        <v>3</v>
      </c>
      <c r="B13" s="31" t="s">
        <v>610</v>
      </c>
      <c r="C13" s="46"/>
      <c r="D13" s="31"/>
      <c r="E13" s="1251">
        <f>E29</f>
        <v>33242.968637094607</v>
      </c>
      <c r="F13" s="41"/>
      <c r="G13" s="46" t="s">
        <v>1823</v>
      </c>
      <c r="H13" s="4">
        <f t="shared" ref="H13:H34" si="1">+H12+1</f>
        <v>3</v>
      </c>
      <c r="K13" s="46"/>
    </row>
    <row r="14" spans="1:12" x14ac:dyDescent="0.25">
      <c r="A14" s="4">
        <f t="shared" si="0"/>
        <v>4</v>
      </c>
      <c r="B14" s="31"/>
      <c r="C14" s="46"/>
      <c r="D14" s="31"/>
      <c r="E14" s="38"/>
      <c r="F14" s="41"/>
      <c r="G14" s="443"/>
      <c r="H14" s="4">
        <f t="shared" si="1"/>
        <v>4</v>
      </c>
      <c r="K14" s="46"/>
    </row>
    <row r="15" spans="1:12" x14ac:dyDescent="0.25">
      <c r="A15" s="4">
        <f t="shared" si="0"/>
        <v>5</v>
      </c>
      <c r="B15" s="31" t="s">
        <v>612</v>
      </c>
      <c r="C15" s="46"/>
      <c r="D15" s="31"/>
      <c r="E15" s="1251">
        <f>E34</f>
        <v>80893.948362905387</v>
      </c>
      <c r="F15" s="41"/>
      <c r="G15" s="46" t="s">
        <v>1824</v>
      </c>
      <c r="H15" s="4">
        <f t="shared" si="1"/>
        <v>5</v>
      </c>
      <c r="K15" s="46"/>
    </row>
    <row r="16" spans="1:12" x14ac:dyDescent="0.25">
      <c r="A16" s="4">
        <f t="shared" si="0"/>
        <v>6</v>
      </c>
      <c r="B16" s="31"/>
      <c r="C16" s="46"/>
      <c r="D16" s="31"/>
      <c r="E16" s="38"/>
      <c r="F16" s="41"/>
      <c r="G16" s="443"/>
      <c r="H16" s="4">
        <f t="shared" si="1"/>
        <v>6</v>
      </c>
      <c r="K16" s="46"/>
    </row>
    <row r="17" spans="1:11" x14ac:dyDescent="0.25">
      <c r="A17" s="4">
        <f t="shared" si="0"/>
        <v>7</v>
      </c>
      <c r="B17" s="31" t="s">
        <v>614</v>
      </c>
      <c r="C17" s="46" t="s">
        <v>615</v>
      </c>
      <c r="D17" s="31"/>
      <c r="E17" s="42">
        <v>12655.782999999999</v>
      </c>
      <c r="F17" s="41"/>
      <c r="G17" s="443"/>
      <c r="H17" s="4">
        <f t="shared" si="1"/>
        <v>7</v>
      </c>
      <c r="K17" s="46"/>
    </row>
    <row r="18" spans="1:11" x14ac:dyDescent="0.25">
      <c r="A18" s="4">
        <f t="shared" si="0"/>
        <v>8</v>
      </c>
      <c r="B18" s="31"/>
      <c r="C18" s="46"/>
      <c r="D18" s="31"/>
      <c r="E18" s="38"/>
      <c r="F18" s="41"/>
      <c r="G18" s="443"/>
      <c r="H18" s="4">
        <f t="shared" si="1"/>
        <v>8</v>
      </c>
      <c r="K18" s="46"/>
    </row>
    <row r="19" spans="1:11" x14ac:dyDescent="0.25">
      <c r="A19" s="4">
        <f t="shared" si="0"/>
        <v>9</v>
      </c>
      <c r="B19" s="31" t="s">
        <v>616</v>
      </c>
      <c r="C19" s="46" t="s">
        <v>617</v>
      </c>
      <c r="D19" s="31"/>
      <c r="E19" s="42">
        <v>16950.915000000001</v>
      </c>
      <c r="F19" s="41"/>
      <c r="G19" s="443"/>
      <c r="H19" s="4">
        <f t="shared" si="1"/>
        <v>9</v>
      </c>
      <c r="K19" s="46"/>
    </row>
    <row r="20" spans="1:11" x14ac:dyDescent="0.25">
      <c r="A20" s="4">
        <f t="shared" si="0"/>
        <v>10</v>
      </c>
      <c r="B20" s="31"/>
      <c r="C20" s="46"/>
      <c r="D20" s="31"/>
      <c r="E20" s="38"/>
      <c r="F20" s="41"/>
      <c r="G20" s="443"/>
      <c r="H20" s="4">
        <f t="shared" si="1"/>
        <v>10</v>
      </c>
      <c r="K20" s="46"/>
    </row>
    <row r="21" spans="1:11" x14ac:dyDescent="0.25">
      <c r="A21" s="4">
        <f t="shared" si="0"/>
        <v>11</v>
      </c>
      <c r="B21" s="31" t="s">
        <v>618</v>
      </c>
      <c r="C21" s="46" t="s">
        <v>619</v>
      </c>
      <c r="D21" s="31"/>
      <c r="E21" s="905">
        <v>0</v>
      </c>
      <c r="F21" s="41"/>
      <c r="G21" s="443"/>
      <c r="H21" s="4">
        <f t="shared" si="1"/>
        <v>11</v>
      </c>
      <c r="K21" s="46"/>
    </row>
    <row r="22" spans="1:11" x14ac:dyDescent="0.25">
      <c r="A22" s="4">
        <f t="shared" si="0"/>
        <v>12</v>
      </c>
      <c r="B22" s="31"/>
      <c r="D22" s="31"/>
      <c r="E22" s="70"/>
      <c r="F22" s="41"/>
      <c r="G22" s="46"/>
      <c r="H22" s="4">
        <f t="shared" si="1"/>
        <v>12</v>
      </c>
    </row>
    <row r="23" spans="1:11" ht="16.5" thickBot="1" x14ac:dyDescent="0.3">
      <c r="A23" s="4">
        <f t="shared" si="0"/>
        <v>13</v>
      </c>
      <c r="B23" s="31" t="s">
        <v>620</v>
      </c>
      <c r="D23" s="31"/>
      <c r="E23" s="118">
        <f>SUM(E11:E21)</f>
        <v>160512.72</v>
      </c>
      <c r="F23" s="41"/>
      <c r="G23" s="44" t="s">
        <v>621</v>
      </c>
      <c r="H23" s="4">
        <f t="shared" si="1"/>
        <v>13</v>
      </c>
    </row>
    <row r="24" spans="1:11" ht="16.5" thickTop="1" x14ac:dyDescent="0.25">
      <c r="A24" s="4">
        <f t="shared" si="0"/>
        <v>14</v>
      </c>
      <c r="B24" s="31"/>
      <c r="D24" s="31"/>
      <c r="E24" s="48"/>
      <c r="F24" s="41"/>
      <c r="G24" s="44"/>
      <c r="H24" s="4">
        <f t="shared" si="1"/>
        <v>14</v>
      </c>
    </row>
    <row r="25" spans="1:11" ht="16.5" thickBot="1" x14ac:dyDescent="0.3">
      <c r="A25" s="4">
        <f t="shared" si="0"/>
        <v>15</v>
      </c>
      <c r="B25" s="31" t="s">
        <v>238</v>
      </c>
      <c r="D25" s="31"/>
      <c r="E25" s="108">
        <f>IFERROR(E13/E23,0)</f>
        <v>0.20710488637345756</v>
      </c>
      <c r="F25" s="73"/>
      <c r="G25" s="4" t="s">
        <v>622</v>
      </c>
      <c r="H25" s="4">
        <f t="shared" si="1"/>
        <v>15</v>
      </c>
    </row>
    <row r="26" spans="1:11" ht="16.5" thickTop="1" x14ac:dyDescent="0.25">
      <c r="A26" s="848">
        <f t="shared" si="0"/>
        <v>16</v>
      </c>
      <c r="B26" s="917"/>
      <c r="C26" s="917"/>
      <c r="D26" s="917"/>
      <c r="E26" s="1256"/>
      <c r="F26" s="1257"/>
      <c r="G26" s="848"/>
      <c r="H26" s="848">
        <f t="shared" si="1"/>
        <v>16</v>
      </c>
    </row>
    <row r="27" spans="1:11" x14ac:dyDescent="0.25">
      <c r="A27" s="4">
        <f t="shared" si="0"/>
        <v>17</v>
      </c>
      <c r="B27" s="31" t="s">
        <v>1804</v>
      </c>
      <c r="C27" s="46" t="s">
        <v>611</v>
      </c>
      <c r="D27" s="276"/>
      <c r="E27" s="1252">
        <v>33945.313999999998</v>
      </c>
      <c r="F27" s="73"/>
      <c r="G27" s="44" t="s">
        <v>263</v>
      </c>
      <c r="H27" s="4">
        <f t="shared" si="1"/>
        <v>17</v>
      </c>
    </row>
    <row r="28" spans="1:11" x14ac:dyDescent="0.25">
      <c r="A28" s="4">
        <f t="shared" si="0"/>
        <v>18</v>
      </c>
      <c r="B28" s="31" t="s">
        <v>1913</v>
      </c>
      <c r="C28" s="276"/>
      <c r="D28" s="276"/>
      <c r="E28" s="1246">
        <f>'AD-6'!F34</f>
        <v>0.97930950460775268</v>
      </c>
      <c r="F28" s="31"/>
      <c r="G28" s="4" t="s">
        <v>1819</v>
      </c>
      <c r="H28" s="4">
        <f t="shared" si="1"/>
        <v>18</v>
      </c>
      <c r="J28"/>
    </row>
    <row r="29" spans="1:11" ht="16.5" thickBot="1" x14ac:dyDescent="0.3">
      <c r="A29" s="4">
        <f t="shared" si="0"/>
        <v>19</v>
      </c>
      <c r="B29" s="31" t="s">
        <v>1802</v>
      </c>
      <c r="E29" s="1253">
        <f>E27*E28</f>
        <v>33242.968637094607</v>
      </c>
      <c r="F29" s="31"/>
      <c r="G29" s="4" t="s">
        <v>24</v>
      </c>
      <c r="H29" s="4">
        <f t="shared" si="1"/>
        <v>19</v>
      </c>
    </row>
    <row r="30" spans="1:11" ht="17.25" thickTop="1" thickBot="1" x14ac:dyDescent="0.3">
      <c r="A30" s="4">
        <f t="shared" si="0"/>
        <v>20</v>
      </c>
      <c r="B30" s="31" t="s">
        <v>1803</v>
      </c>
      <c r="E30" s="1254">
        <f>E27-E29</f>
        <v>702.34536290539108</v>
      </c>
      <c r="F30" s="31"/>
      <c r="G30" s="4" t="s">
        <v>1820</v>
      </c>
      <c r="H30" s="4">
        <f t="shared" si="1"/>
        <v>20</v>
      </c>
    </row>
    <row r="31" spans="1:11" ht="16.5" thickTop="1" x14ac:dyDescent="0.25">
      <c r="A31" s="4">
        <f t="shared" si="0"/>
        <v>21</v>
      </c>
      <c r="B31" s="31"/>
      <c r="E31" s="31"/>
      <c r="F31" s="31"/>
      <c r="G31" s="4"/>
      <c r="H31" s="4">
        <f t="shared" si="1"/>
        <v>21</v>
      </c>
    </row>
    <row r="32" spans="1:11" x14ac:dyDescent="0.25">
      <c r="A32" s="4">
        <f t="shared" si="0"/>
        <v>22</v>
      </c>
      <c r="B32" s="31" t="s">
        <v>1805</v>
      </c>
      <c r="C32" s="46" t="s">
        <v>613</v>
      </c>
      <c r="E32" s="1252">
        <v>80191.603000000003</v>
      </c>
      <c r="F32" s="31"/>
      <c r="G32" s="44" t="s">
        <v>263</v>
      </c>
      <c r="H32" s="4">
        <f t="shared" si="1"/>
        <v>22</v>
      </c>
    </row>
    <row r="33" spans="1:8" x14ac:dyDescent="0.25">
      <c r="A33" s="4">
        <f t="shared" si="0"/>
        <v>23</v>
      </c>
      <c r="B33" s="31" t="s">
        <v>1803</v>
      </c>
      <c r="E33" s="35">
        <f>E30</f>
        <v>702.34536290539108</v>
      </c>
      <c r="F33" s="31"/>
      <c r="G33" s="4" t="s">
        <v>1821</v>
      </c>
      <c r="H33" s="4">
        <f t="shared" si="1"/>
        <v>23</v>
      </c>
    </row>
    <row r="34" spans="1:8" ht="16.5" thickBot="1" x14ac:dyDescent="0.3">
      <c r="A34" s="4">
        <f t="shared" si="0"/>
        <v>24</v>
      </c>
      <c r="B34" s="31" t="s">
        <v>1806</v>
      </c>
      <c r="E34" s="1255">
        <f>E32+E33</f>
        <v>80893.948362905387</v>
      </c>
      <c r="F34" s="31"/>
      <c r="G34" s="4" t="s">
        <v>1822</v>
      </c>
      <c r="H34" s="4">
        <f t="shared" si="1"/>
        <v>24</v>
      </c>
    </row>
    <row r="35" spans="1:8" ht="16.5" thickTop="1" x14ac:dyDescent="0.25"/>
  </sheetData>
  <mergeCells count="5">
    <mergeCell ref="B2:G2"/>
    <mergeCell ref="B3:G3"/>
    <mergeCell ref="B4:G4"/>
    <mergeCell ref="B5:G5"/>
    <mergeCell ref="B6:G6"/>
  </mergeCells>
  <printOptions horizontalCentered="1"/>
  <pageMargins left="0.5" right="0.5" top="0.5" bottom="0.5" header="0.25" footer="0.25"/>
  <pageSetup scale="63" orientation="portrait" r:id="rId1"/>
  <headerFooter scaleWithDoc="0">
    <oddFooter>&amp;C&amp;"Times New Roman,Regular"&amp;10&amp;A</oddFooter>
  </headerFooter>
  <customProperties>
    <customPr name="_pios_id" r:id="rId2"/>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J43"/>
  <sheetViews>
    <sheetView topLeftCell="A9" zoomScale="80" zoomScaleNormal="80" workbookViewId="0">
      <selection activeCell="B45" sqref="B45"/>
    </sheetView>
  </sheetViews>
  <sheetFormatPr defaultColWidth="8.7109375" defaultRowHeight="15.75" x14ac:dyDescent="0.25"/>
  <cols>
    <col min="1" max="1" width="5.28515625" style="4" customWidth="1"/>
    <col min="2" max="2" width="71.5703125" style="31" customWidth="1"/>
    <col min="3" max="3" width="21.28515625" style="357" customWidth="1"/>
    <col min="4" max="4" width="1.5703125" style="31" customWidth="1"/>
    <col min="5" max="5" width="16.7109375" style="31" customWidth="1"/>
    <col min="6" max="6" width="1.5703125" style="31" customWidth="1"/>
    <col min="7" max="7" width="34.5703125" style="31" customWidth="1"/>
    <col min="8" max="8" width="5.28515625" style="4" customWidth="1"/>
    <col min="9" max="9" width="20.42578125" style="31" bestFit="1" customWidth="1"/>
    <col min="10" max="16384" width="8.7109375" style="31"/>
  </cols>
  <sheetData>
    <row r="1" spans="1:8" x14ac:dyDescent="0.25">
      <c r="B1" s="32"/>
      <c r="E1" s="70"/>
      <c r="F1" s="41"/>
      <c r="G1" s="4"/>
    </row>
    <row r="2" spans="1:8" x14ac:dyDescent="0.25">
      <c r="B2" s="1316" t="s">
        <v>0</v>
      </c>
      <c r="C2" s="1316"/>
      <c r="D2" s="1316"/>
      <c r="E2" s="1316"/>
      <c r="F2" s="1316"/>
      <c r="G2" s="1316"/>
    </row>
    <row r="3" spans="1:8" x14ac:dyDescent="0.25">
      <c r="B3" s="1316" t="s">
        <v>623</v>
      </c>
      <c r="C3" s="1316"/>
      <c r="D3" s="1316"/>
      <c r="E3" s="1316"/>
      <c r="F3" s="1316"/>
      <c r="G3" s="1316"/>
    </row>
    <row r="4" spans="1:8" x14ac:dyDescent="0.25">
      <c r="B4" s="1316" t="s">
        <v>624</v>
      </c>
      <c r="C4" s="1316"/>
      <c r="D4" s="1316"/>
      <c r="E4" s="1316"/>
      <c r="F4" s="1316"/>
      <c r="G4" s="1316"/>
    </row>
    <row r="5" spans="1:8" x14ac:dyDescent="0.25">
      <c r="B5" s="1318" t="str">
        <f>'Stmt AD'!B5</f>
        <v>Base Period &amp; True-Up Period 12 - Months Ending December 31, 2025</v>
      </c>
      <c r="C5" s="1318"/>
      <c r="D5" s="1318"/>
      <c r="E5" s="1318"/>
      <c r="F5" s="1318"/>
      <c r="G5" s="1318"/>
    </row>
    <row r="6" spans="1:8" ht="15.75" customHeight="1" x14ac:dyDescent="0.25">
      <c r="B6" s="1327">
        <v>-1000</v>
      </c>
      <c r="C6" s="1327"/>
      <c r="D6" s="1327"/>
      <c r="E6" s="1327"/>
      <c r="F6" s="1327"/>
      <c r="G6" s="1327"/>
    </row>
    <row r="7" spans="1:8" x14ac:dyDescent="0.25">
      <c r="B7" s="4"/>
      <c r="D7" s="4"/>
      <c r="E7" s="4"/>
      <c r="F7" s="217"/>
      <c r="G7" s="4"/>
    </row>
    <row r="8" spans="1:8" x14ac:dyDescent="0.25">
      <c r="A8" s="4" t="s">
        <v>5</v>
      </c>
      <c r="B8" s="217"/>
      <c r="C8" s="4" t="s">
        <v>210</v>
      </c>
      <c r="D8" s="217"/>
      <c r="E8" s="34"/>
      <c r="F8" s="217"/>
      <c r="G8" s="4"/>
      <c r="H8" s="4" t="s">
        <v>5</v>
      </c>
    </row>
    <row r="9" spans="1:8" x14ac:dyDescent="0.25">
      <c r="A9" s="4" t="s">
        <v>6</v>
      </c>
      <c r="B9" s="217"/>
      <c r="C9" s="848" t="s">
        <v>212</v>
      </c>
      <c r="D9" s="217"/>
      <c r="E9" s="849" t="s">
        <v>7</v>
      </c>
      <c r="F9" s="217"/>
      <c r="G9" s="848" t="s">
        <v>8</v>
      </c>
      <c r="H9" s="4" t="s">
        <v>6</v>
      </c>
    </row>
    <row r="10" spans="1:8" x14ac:dyDescent="0.25">
      <c r="B10" s="217"/>
      <c r="C10" s="414"/>
      <c r="D10" s="217"/>
      <c r="E10" s="4"/>
      <c r="F10" s="217"/>
      <c r="G10" s="4"/>
    </row>
    <row r="11" spans="1:8" x14ac:dyDescent="0.25">
      <c r="A11" s="4">
        <v>1</v>
      </c>
      <c r="B11" s="32" t="s">
        <v>625</v>
      </c>
      <c r="D11" s="4"/>
      <c r="E11" s="109">
        <f>'AJ-1'!G26</f>
        <v>262244.30897809606</v>
      </c>
      <c r="F11" s="1086" t="s">
        <v>2062</v>
      </c>
      <c r="G11" s="46" t="s">
        <v>1612</v>
      </c>
      <c r="H11" s="4">
        <f>A11</f>
        <v>1</v>
      </c>
    </row>
    <row r="12" spans="1:8" x14ac:dyDescent="0.25">
      <c r="A12" s="4">
        <f>A11+1</f>
        <v>2</v>
      </c>
      <c r="E12" s="110"/>
      <c r="F12" s="71"/>
      <c r="G12" s="46"/>
      <c r="H12" s="4">
        <f>H11+1</f>
        <v>2</v>
      </c>
    </row>
    <row r="13" spans="1:8" x14ac:dyDescent="0.25">
      <c r="A13" s="4">
        <f t="shared" ref="A13:A33" si="0">A12+1</f>
        <v>3</v>
      </c>
      <c r="B13" s="31" t="s">
        <v>626</v>
      </c>
      <c r="C13" s="4" t="s">
        <v>627</v>
      </c>
      <c r="E13" s="42">
        <f>'AJ-2'!C15</f>
        <v>0</v>
      </c>
      <c r="F13" s="1086" t="s">
        <v>2062</v>
      </c>
      <c r="G13" s="46" t="s">
        <v>628</v>
      </c>
      <c r="H13" s="4">
        <f t="shared" ref="H13:H28" si="1">H12+1</f>
        <v>3</v>
      </c>
    </row>
    <row r="14" spans="1:8" x14ac:dyDescent="0.25">
      <c r="A14" s="4">
        <f t="shared" si="0"/>
        <v>4</v>
      </c>
      <c r="C14" s="4"/>
      <c r="E14" s="110"/>
      <c r="F14" s="71"/>
      <c r="G14" s="46"/>
      <c r="H14" s="4">
        <f t="shared" si="1"/>
        <v>4</v>
      </c>
    </row>
    <row r="15" spans="1:8" x14ac:dyDescent="0.25">
      <c r="A15" s="4">
        <f t="shared" si="0"/>
        <v>5</v>
      </c>
      <c r="B15" s="31" t="s">
        <v>629</v>
      </c>
      <c r="C15" s="4" t="s">
        <v>630</v>
      </c>
      <c r="E15" s="111">
        <f>'AJ-3'!C15</f>
        <v>24038.51584</v>
      </c>
      <c r="F15" s="1086"/>
      <c r="G15" s="46" t="s">
        <v>631</v>
      </c>
      <c r="H15" s="4">
        <f t="shared" si="1"/>
        <v>5</v>
      </c>
    </row>
    <row r="16" spans="1:8" x14ac:dyDescent="0.25">
      <c r="A16" s="4">
        <f t="shared" si="0"/>
        <v>6</v>
      </c>
      <c r="C16" s="4"/>
      <c r="E16" s="38"/>
      <c r="F16" s="73"/>
      <c r="G16" s="46"/>
      <c r="H16" s="4">
        <f t="shared" si="1"/>
        <v>6</v>
      </c>
    </row>
    <row r="17" spans="1:10" x14ac:dyDescent="0.25">
      <c r="A17" s="4">
        <f t="shared" si="0"/>
        <v>7</v>
      </c>
      <c r="B17" s="31" t="s">
        <v>632</v>
      </c>
      <c r="C17" s="4" t="s">
        <v>633</v>
      </c>
      <c r="E17" s="42">
        <f>'AJ-4'!D15</f>
        <v>185530.98935670001</v>
      </c>
      <c r="F17" s="1086"/>
      <c r="G17" s="46" t="s">
        <v>634</v>
      </c>
      <c r="H17" s="4">
        <f t="shared" si="1"/>
        <v>7</v>
      </c>
    </row>
    <row r="18" spans="1:10" x14ac:dyDescent="0.25">
      <c r="A18" s="4">
        <f t="shared" si="0"/>
        <v>8</v>
      </c>
      <c r="E18" s="72"/>
      <c r="F18" s="73"/>
      <c r="G18" s="46"/>
      <c r="H18" s="4">
        <f t="shared" si="1"/>
        <v>8</v>
      </c>
    </row>
    <row r="19" spans="1:10" x14ac:dyDescent="0.25">
      <c r="A19" s="4">
        <f t="shared" si="0"/>
        <v>9</v>
      </c>
      <c r="B19" s="31" t="s">
        <v>238</v>
      </c>
      <c r="E19" s="968">
        <f>'Stmt AI'!E25</f>
        <v>0.20710488637345756</v>
      </c>
      <c r="F19" s="73"/>
      <c r="G19" s="46" t="s">
        <v>239</v>
      </c>
      <c r="H19" s="4">
        <f t="shared" si="1"/>
        <v>9</v>
      </c>
      <c r="J19" s="276"/>
    </row>
    <row r="20" spans="1:10" x14ac:dyDescent="0.25">
      <c r="A20" s="4">
        <f t="shared" si="0"/>
        <v>10</v>
      </c>
      <c r="E20" s="112"/>
      <c r="F20" s="73"/>
      <c r="G20" s="46"/>
      <c r="H20" s="4">
        <f t="shared" si="1"/>
        <v>10</v>
      </c>
    </row>
    <row r="21" spans="1:10" x14ac:dyDescent="0.25">
      <c r="A21" s="4">
        <f t="shared" si="0"/>
        <v>11</v>
      </c>
      <c r="B21" s="31" t="s">
        <v>635</v>
      </c>
      <c r="E21" s="75">
        <f>E13*$E$19</f>
        <v>0</v>
      </c>
      <c r="F21" s="71"/>
      <c r="G21" s="46" t="s">
        <v>365</v>
      </c>
      <c r="H21" s="4">
        <f t="shared" si="1"/>
        <v>11</v>
      </c>
    </row>
    <row r="22" spans="1:10" x14ac:dyDescent="0.25">
      <c r="A22" s="4">
        <f t="shared" si="0"/>
        <v>12</v>
      </c>
      <c r="E22" s="112"/>
      <c r="F22" s="73"/>
      <c r="G22" s="46"/>
      <c r="H22" s="4">
        <f t="shared" si="1"/>
        <v>12</v>
      </c>
    </row>
    <row r="23" spans="1:10" x14ac:dyDescent="0.25">
      <c r="A23" s="4">
        <f t="shared" si="0"/>
        <v>13</v>
      </c>
      <c r="B23" s="31" t="s">
        <v>636</v>
      </c>
      <c r="E23" s="38">
        <f>E15*$E$19</f>
        <v>4978.4940916297601</v>
      </c>
      <c r="F23" s="41"/>
      <c r="G23" s="46" t="s">
        <v>367</v>
      </c>
      <c r="H23" s="4">
        <f t="shared" si="1"/>
        <v>13</v>
      </c>
    </row>
    <row r="24" spans="1:10" x14ac:dyDescent="0.25">
      <c r="A24" s="4">
        <f t="shared" si="0"/>
        <v>14</v>
      </c>
      <c r="B24" s="31" t="s">
        <v>1</v>
      </c>
      <c r="E24" s="76"/>
      <c r="F24" s="41"/>
      <c r="G24" s="46"/>
      <c r="H24" s="4">
        <f t="shared" si="1"/>
        <v>14</v>
      </c>
    </row>
    <row r="25" spans="1:10" x14ac:dyDescent="0.25">
      <c r="A25" s="4">
        <f t="shared" si="0"/>
        <v>15</v>
      </c>
      <c r="B25" s="31" t="s">
        <v>637</v>
      </c>
      <c r="E25" s="922">
        <f>E17*$E$19</f>
        <v>38424.374469474518</v>
      </c>
      <c r="F25" s="41"/>
      <c r="G25" s="46" t="s">
        <v>369</v>
      </c>
      <c r="H25" s="4">
        <f t="shared" si="1"/>
        <v>15</v>
      </c>
    </row>
    <row r="26" spans="1:10" x14ac:dyDescent="0.25">
      <c r="A26" s="4">
        <f t="shared" si="0"/>
        <v>16</v>
      </c>
      <c r="E26" s="76"/>
      <c r="F26" s="41"/>
      <c r="G26" s="46"/>
      <c r="H26" s="4">
        <f t="shared" si="1"/>
        <v>16</v>
      </c>
    </row>
    <row r="27" spans="1:10" ht="16.5" thickBot="1" x14ac:dyDescent="0.3">
      <c r="A27" s="4">
        <f t="shared" si="0"/>
        <v>17</v>
      </c>
      <c r="B27" s="31" t="s">
        <v>638</v>
      </c>
      <c r="D27" s="48"/>
      <c r="E27" s="77">
        <f>E11+E21+E23+E25</f>
        <v>305647.17753920035</v>
      </c>
      <c r="F27" s="71"/>
      <c r="G27" s="46" t="s">
        <v>370</v>
      </c>
      <c r="H27" s="4">
        <f t="shared" si="1"/>
        <v>17</v>
      </c>
    </row>
    <row r="28" spans="1:10" ht="16.5" thickTop="1" x14ac:dyDescent="0.25">
      <c r="A28" s="4">
        <f t="shared" si="0"/>
        <v>18</v>
      </c>
      <c r="D28" s="48"/>
      <c r="E28" s="48"/>
      <c r="F28" s="41"/>
      <c r="G28" s="46"/>
      <c r="H28" s="4">
        <f t="shared" si="1"/>
        <v>18</v>
      </c>
    </row>
    <row r="29" spans="1:10" ht="16.5" thickBot="1" x14ac:dyDescent="0.3">
      <c r="A29" s="4">
        <f>A28+1</f>
        <v>19</v>
      </c>
      <c r="B29" s="31" t="s">
        <v>35</v>
      </c>
      <c r="D29" s="48"/>
      <c r="E29" s="78">
        <f>'AJ-5'!F28</f>
        <v>0</v>
      </c>
      <c r="F29" s="41"/>
      <c r="G29" s="46" t="s">
        <v>1613</v>
      </c>
      <c r="H29" s="4">
        <f>H28+1</f>
        <v>19</v>
      </c>
    </row>
    <row r="30" spans="1:10" ht="16.5" thickTop="1" x14ac:dyDescent="0.25">
      <c r="A30" s="4">
        <f t="shared" si="0"/>
        <v>20</v>
      </c>
      <c r="D30" s="48"/>
      <c r="F30" s="41"/>
      <c r="G30" s="46"/>
      <c r="H30" s="4">
        <f t="shared" ref="H30:H33" si="2">H29+1</f>
        <v>20</v>
      </c>
    </row>
    <row r="31" spans="1:10" ht="19.5" thickBot="1" x14ac:dyDescent="0.3">
      <c r="A31" s="4">
        <f>A30+1</f>
        <v>21</v>
      </c>
      <c r="B31" s="31" t="s">
        <v>639</v>
      </c>
      <c r="D31" s="415"/>
      <c r="E31" s="78">
        <f>'AJ-6'!C17</f>
        <v>0</v>
      </c>
      <c r="F31" s="263"/>
      <c r="G31" s="46" t="s">
        <v>640</v>
      </c>
      <c r="H31" s="4">
        <f>H30+1</f>
        <v>21</v>
      </c>
    </row>
    <row r="32" spans="1:10" ht="16.5" thickTop="1" x14ac:dyDescent="0.25">
      <c r="A32" s="4">
        <f t="shared" si="0"/>
        <v>22</v>
      </c>
      <c r="D32" s="38"/>
      <c r="E32" s="38"/>
      <c r="F32" s="41"/>
      <c r="G32" s="46"/>
      <c r="H32" s="4">
        <f t="shared" si="2"/>
        <v>22</v>
      </c>
    </row>
    <row r="33" spans="1:8" ht="16.5" thickBot="1" x14ac:dyDescent="0.3">
      <c r="A33" s="4">
        <f t="shared" si="0"/>
        <v>23</v>
      </c>
      <c r="B33" s="31" t="s">
        <v>641</v>
      </c>
      <c r="C33" s="414"/>
      <c r="D33" s="110"/>
      <c r="E33" s="78">
        <f>'AJ-7'!C17</f>
        <v>0</v>
      </c>
      <c r="F33" s="41"/>
      <c r="G33" s="46" t="s">
        <v>642</v>
      </c>
      <c r="H33" s="4">
        <f t="shared" si="2"/>
        <v>23</v>
      </c>
    </row>
    <row r="34" spans="1:8" ht="16.5" thickTop="1" x14ac:dyDescent="0.25">
      <c r="B34" s="32"/>
      <c r="E34" s="110"/>
      <c r="F34" s="41"/>
      <c r="G34" s="49"/>
    </row>
    <row r="35" spans="1:8" x14ac:dyDescent="0.25">
      <c r="B35" s="32"/>
      <c r="E35" s="110"/>
      <c r="F35" s="41"/>
      <c r="G35" s="49"/>
    </row>
    <row r="36" spans="1:8" x14ac:dyDescent="0.25">
      <c r="A36" s="1086" t="s">
        <v>2062</v>
      </c>
      <c r="B36" s="1362" t="s">
        <v>2131</v>
      </c>
      <c r="C36" s="1362"/>
      <c r="D36" s="1362"/>
      <c r="E36" s="1362"/>
      <c r="F36" s="1362"/>
      <c r="G36" s="1362"/>
    </row>
    <row r="37" spans="1:8" ht="42.75" customHeight="1" x14ac:dyDescent="0.25">
      <c r="A37" s="1086"/>
      <c r="B37" s="1362"/>
      <c r="C37" s="1362"/>
      <c r="D37" s="1362"/>
      <c r="E37" s="1362"/>
      <c r="F37" s="1362"/>
      <c r="G37" s="1362"/>
    </row>
    <row r="38" spans="1:8" ht="18.75" x14ac:dyDescent="0.25">
      <c r="A38" s="265">
        <v>1</v>
      </c>
      <c r="B38" s="31" t="s">
        <v>643</v>
      </c>
      <c r="E38" s="48"/>
      <c r="F38" s="41"/>
      <c r="G38" s="46"/>
    </row>
    <row r="39" spans="1:8" x14ac:dyDescent="0.25">
      <c r="E39" s="48"/>
      <c r="F39" s="41"/>
      <c r="G39" s="46"/>
    </row>
    <row r="40" spans="1:8" x14ac:dyDescent="0.25">
      <c r="B40" s="250"/>
      <c r="E40" s="38"/>
      <c r="F40" s="41"/>
      <c r="G40" s="46"/>
    </row>
    <row r="41" spans="1:8" x14ac:dyDescent="0.25">
      <c r="B41" s="1"/>
      <c r="C41" s="414"/>
      <c r="E41" s="113"/>
      <c r="F41" s="41"/>
      <c r="G41" s="416"/>
    </row>
    <row r="42" spans="1:8" x14ac:dyDescent="0.25">
      <c r="B42" s="250"/>
      <c r="E42" s="70"/>
      <c r="F42" s="41"/>
      <c r="G42" s="416"/>
    </row>
    <row r="43" spans="1:8" x14ac:dyDescent="0.25">
      <c r="F43" s="4"/>
      <c r="G43" s="46"/>
    </row>
  </sheetData>
  <mergeCells count="6">
    <mergeCell ref="B36:G37"/>
    <mergeCell ref="B5:G5"/>
    <mergeCell ref="B2:G2"/>
    <mergeCell ref="B3:G3"/>
    <mergeCell ref="B4:G4"/>
    <mergeCell ref="B6:G6"/>
  </mergeCells>
  <printOptions horizontalCentered="1"/>
  <pageMargins left="0.5" right="0.5" top="0.5" bottom="0.5" header="0.25" footer="0.25"/>
  <pageSetup scale="61" orientation="portrait" r:id="rId1"/>
  <headerFooter scaleWithDoc="0">
    <oddFooter>&amp;C&amp;"Times New Roman,Regular"&amp;10&amp;A</oddFooter>
  </headerFooter>
  <customProperties>
    <customPr name="_pios_id" r:id="rId2"/>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2:Q33"/>
  <sheetViews>
    <sheetView zoomScale="80" zoomScaleNormal="80" workbookViewId="0">
      <selection activeCell="C35" sqref="C35"/>
    </sheetView>
  </sheetViews>
  <sheetFormatPr defaultColWidth="9.28515625" defaultRowHeight="15.75" x14ac:dyDescent="0.25"/>
  <cols>
    <col min="1" max="1" width="5.28515625" style="4" customWidth="1"/>
    <col min="2" max="2" width="8.5703125" style="31" customWidth="1"/>
    <col min="3" max="3" width="53.28515625" style="31" customWidth="1"/>
    <col min="4" max="4" width="23.42578125" style="31" customWidth="1"/>
    <col min="5" max="5" width="4.140625" style="31" customWidth="1"/>
    <col min="6" max="6" width="27.7109375" style="31" customWidth="1"/>
    <col min="7" max="7" width="20.42578125" style="31" customWidth="1"/>
    <col min="8" max="8" width="4.140625" style="31" customWidth="1"/>
    <col min="9" max="9" width="27.7109375" style="31" customWidth="1"/>
    <col min="10" max="11" width="5.28515625" style="4" customWidth="1"/>
    <col min="12" max="16384" width="9.28515625" style="31"/>
  </cols>
  <sheetData>
    <row r="2" spans="1:17" x14ac:dyDescent="0.25">
      <c r="B2" s="1316" t="s">
        <v>0</v>
      </c>
      <c r="C2" s="1316"/>
      <c r="D2" s="1316"/>
      <c r="E2" s="1316"/>
      <c r="F2" s="1316"/>
      <c r="G2" s="1316"/>
      <c r="H2" s="1316"/>
      <c r="I2" s="1316"/>
      <c r="J2" s="217"/>
      <c r="K2" s="217"/>
    </row>
    <row r="3" spans="1:17" x14ac:dyDescent="0.25">
      <c r="B3" s="1316" t="s">
        <v>644</v>
      </c>
      <c r="C3" s="1316"/>
      <c r="D3" s="1316"/>
      <c r="E3" s="1316"/>
      <c r="F3" s="1316"/>
      <c r="G3" s="1316"/>
      <c r="H3" s="1316"/>
      <c r="I3" s="1316"/>
      <c r="J3" s="217"/>
      <c r="K3" s="217"/>
    </row>
    <row r="4" spans="1:17" x14ac:dyDescent="0.25">
      <c r="B4" s="1316" t="s">
        <v>645</v>
      </c>
      <c r="C4" s="1316"/>
      <c r="D4" s="1316"/>
      <c r="E4" s="1316"/>
      <c r="F4" s="1316"/>
      <c r="G4" s="1316"/>
      <c r="H4" s="1316"/>
      <c r="I4" s="1316"/>
      <c r="J4" s="217"/>
      <c r="K4" s="217"/>
    </row>
    <row r="5" spans="1:17" x14ac:dyDescent="0.25">
      <c r="B5" s="1316" t="s">
        <v>2121</v>
      </c>
      <c r="C5" s="1316"/>
      <c r="D5" s="1316"/>
      <c r="E5" s="1316"/>
      <c r="F5" s="1316"/>
      <c r="G5" s="1316"/>
      <c r="H5" s="1316"/>
      <c r="I5" s="1316"/>
    </row>
    <row r="6" spans="1:17" x14ac:dyDescent="0.25">
      <c r="B6" s="1327">
        <v>-1000</v>
      </c>
      <c r="C6" s="1327"/>
      <c r="D6" s="1327"/>
      <c r="E6" s="1327"/>
      <c r="F6" s="1327"/>
      <c r="G6" s="1327"/>
      <c r="H6" s="1327"/>
      <c r="I6" s="1327"/>
    </row>
    <row r="7" spans="1:17" x14ac:dyDescent="0.25">
      <c r="B7" s="989"/>
      <c r="C7" s="966"/>
      <c r="D7" s="966"/>
      <c r="E7" s="966"/>
      <c r="F7" s="966"/>
      <c r="G7" s="917"/>
    </row>
    <row r="8" spans="1:17" x14ac:dyDescent="0.25">
      <c r="B8" s="990"/>
      <c r="C8" s="924"/>
      <c r="D8" s="1306" t="s">
        <v>453</v>
      </c>
      <c r="E8" s="417"/>
      <c r="F8" s="991"/>
      <c r="G8" s="1306"/>
      <c r="H8" s="417"/>
      <c r="I8" s="991"/>
    </row>
    <row r="9" spans="1:17" s="217" customFormat="1" x14ac:dyDescent="0.25">
      <c r="B9" s="269"/>
      <c r="C9" s="269"/>
      <c r="D9" s="217" t="s">
        <v>295</v>
      </c>
      <c r="E9" s="273"/>
      <c r="F9" s="269"/>
      <c r="G9" s="261" t="s">
        <v>295</v>
      </c>
      <c r="H9" s="270"/>
      <c r="I9" s="269"/>
      <c r="J9" s="4"/>
      <c r="K9" s="4"/>
    </row>
    <row r="10" spans="1:17" x14ac:dyDescent="0.25">
      <c r="A10" s="4" t="s">
        <v>5</v>
      </c>
      <c r="B10" s="269" t="s">
        <v>310</v>
      </c>
      <c r="C10" s="269"/>
      <c r="D10" s="217" t="s">
        <v>646</v>
      </c>
      <c r="E10" s="273"/>
      <c r="F10" s="269"/>
      <c r="G10" s="217" t="s">
        <v>646</v>
      </c>
      <c r="H10" s="273"/>
      <c r="I10" s="269"/>
      <c r="J10" s="4" t="s">
        <v>5</v>
      </c>
    </row>
    <row r="11" spans="1:17" ht="18.75" x14ac:dyDescent="0.25">
      <c r="A11" s="4" t="s">
        <v>6</v>
      </c>
      <c r="B11" s="274" t="s">
        <v>6</v>
      </c>
      <c r="C11" s="274" t="s">
        <v>311</v>
      </c>
      <c r="D11" s="927" t="s">
        <v>261</v>
      </c>
      <c r="E11" s="275"/>
      <c r="F11" s="274" t="s">
        <v>8</v>
      </c>
      <c r="G11" s="927" t="s">
        <v>262</v>
      </c>
      <c r="H11" s="275"/>
      <c r="I11" s="274" t="s">
        <v>8</v>
      </c>
      <c r="J11" s="4" t="s">
        <v>6</v>
      </c>
    </row>
    <row r="12" spans="1:17" x14ac:dyDescent="0.25">
      <c r="A12" s="4">
        <v>1</v>
      </c>
      <c r="B12" s="932">
        <v>303</v>
      </c>
      <c r="C12" s="992" t="s">
        <v>319</v>
      </c>
      <c r="D12" s="44">
        <v>0</v>
      </c>
      <c r="E12" s="64"/>
      <c r="F12" s="932" t="s">
        <v>263</v>
      </c>
      <c r="G12" s="44">
        <v>0</v>
      </c>
      <c r="H12" s="64"/>
      <c r="I12" s="993" t="s">
        <v>263</v>
      </c>
      <c r="J12" s="4">
        <f>A12</f>
        <v>1</v>
      </c>
    </row>
    <row r="13" spans="1:17" x14ac:dyDescent="0.25">
      <c r="A13" s="4">
        <f>A12+1</f>
        <v>2</v>
      </c>
      <c r="B13" s="932">
        <v>350</v>
      </c>
      <c r="C13" s="992" t="s">
        <v>647</v>
      </c>
      <c r="D13" s="6">
        <v>2102.7636599999992</v>
      </c>
      <c r="E13" s="52"/>
      <c r="F13" s="232"/>
      <c r="G13" s="6">
        <v>0</v>
      </c>
      <c r="H13" s="52"/>
      <c r="I13" s="353"/>
      <c r="J13" s="4">
        <f>J12+1</f>
        <v>2</v>
      </c>
    </row>
    <row r="14" spans="1:17" x14ac:dyDescent="0.25">
      <c r="A14" s="4">
        <f t="shared" ref="A14:A27" si="0">A13+1</f>
        <v>3</v>
      </c>
      <c r="B14" s="947">
        <v>351.1</v>
      </c>
      <c r="C14" s="233" t="s">
        <v>1492</v>
      </c>
      <c r="D14" s="6">
        <v>0.25973000000000002</v>
      </c>
      <c r="E14" s="52"/>
      <c r="F14" s="1093"/>
      <c r="G14" s="6">
        <v>0</v>
      </c>
      <c r="H14" s="52"/>
      <c r="I14" s="1094"/>
      <c r="J14" s="4">
        <f t="shared" ref="J14:J27" si="1">J13+1</f>
        <v>3</v>
      </c>
      <c r="K14" s="357"/>
      <c r="M14"/>
      <c r="N14"/>
      <c r="O14"/>
      <c r="P14"/>
      <c r="Q14"/>
    </row>
    <row r="15" spans="1:17" x14ac:dyDescent="0.25">
      <c r="A15" s="4">
        <f t="shared" si="0"/>
        <v>4</v>
      </c>
      <c r="B15" s="947">
        <v>351.2</v>
      </c>
      <c r="C15" s="233" t="s">
        <v>1493</v>
      </c>
      <c r="D15" s="6">
        <v>436.20391000000001</v>
      </c>
      <c r="E15" s="52"/>
      <c r="F15" s="1093"/>
      <c r="G15" s="6">
        <v>0</v>
      </c>
      <c r="H15" s="52"/>
      <c r="I15" s="1094"/>
      <c r="J15" s="4">
        <f t="shared" si="1"/>
        <v>4</v>
      </c>
      <c r="K15" s="357"/>
    </row>
    <row r="16" spans="1:17" x14ac:dyDescent="0.25">
      <c r="A16" s="4">
        <f t="shared" si="0"/>
        <v>5</v>
      </c>
      <c r="B16" s="947">
        <v>351.3</v>
      </c>
      <c r="C16" s="233" t="s">
        <v>1494</v>
      </c>
      <c r="D16" s="6">
        <v>8385.34976333333</v>
      </c>
      <c r="E16" s="52"/>
      <c r="F16" s="1093"/>
      <c r="G16" s="6">
        <v>0</v>
      </c>
      <c r="H16" s="52"/>
      <c r="I16" s="1094"/>
      <c r="J16" s="4">
        <f t="shared" si="1"/>
        <v>5</v>
      </c>
      <c r="K16" s="357"/>
    </row>
    <row r="17" spans="1:11" x14ac:dyDescent="0.25">
      <c r="A17" s="4">
        <f t="shared" si="0"/>
        <v>6</v>
      </c>
      <c r="B17" s="932">
        <v>352</v>
      </c>
      <c r="C17" s="233" t="s">
        <v>648</v>
      </c>
      <c r="D17" s="6">
        <v>23843.677729999985</v>
      </c>
      <c r="E17" s="52"/>
      <c r="F17" s="232"/>
      <c r="G17" s="6">
        <v>0</v>
      </c>
      <c r="H17" s="52"/>
      <c r="I17" s="353"/>
      <c r="J17" s="4">
        <f t="shared" si="1"/>
        <v>6</v>
      </c>
      <c r="K17" s="357"/>
    </row>
    <row r="18" spans="1:11" x14ac:dyDescent="0.25">
      <c r="A18" s="4">
        <f t="shared" si="0"/>
        <v>7</v>
      </c>
      <c r="B18" s="932">
        <v>353</v>
      </c>
      <c r="C18" s="233" t="s">
        <v>325</v>
      </c>
      <c r="D18" s="6">
        <v>87170.531099999876</v>
      </c>
      <c r="E18" s="52"/>
      <c r="F18" s="232"/>
      <c r="G18" s="6">
        <v>0</v>
      </c>
      <c r="H18" s="52"/>
      <c r="I18" s="353"/>
      <c r="J18" s="4">
        <f t="shared" si="1"/>
        <v>7</v>
      </c>
      <c r="K18" s="357"/>
    </row>
    <row r="19" spans="1:11" x14ac:dyDescent="0.25">
      <c r="A19" s="4">
        <f t="shared" si="0"/>
        <v>8</v>
      </c>
      <c r="B19" s="932">
        <v>354</v>
      </c>
      <c r="C19" s="233" t="s">
        <v>326</v>
      </c>
      <c r="D19" s="6">
        <v>23268.403649999946</v>
      </c>
      <c r="E19" s="52"/>
      <c r="F19" s="232"/>
      <c r="G19" s="6">
        <v>0</v>
      </c>
      <c r="H19" s="52"/>
      <c r="I19" s="353"/>
      <c r="J19" s="4">
        <f t="shared" si="1"/>
        <v>8</v>
      </c>
      <c r="K19" s="357"/>
    </row>
    <row r="20" spans="1:11" x14ac:dyDescent="0.25">
      <c r="A20" s="4">
        <f t="shared" si="0"/>
        <v>9</v>
      </c>
      <c r="B20" s="932">
        <v>355</v>
      </c>
      <c r="C20" s="233" t="s">
        <v>327</v>
      </c>
      <c r="D20" s="6">
        <v>61505.47356999998</v>
      </c>
      <c r="E20" s="52"/>
      <c r="F20" s="232"/>
      <c r="G20" s="6">
        <v>0</v>
      </c>
      <c r="H20" s="52"/>
      <c r="I20" s="353"/>
      <c r="J20" s="4">
        <f t="shared" si="1"/>
        <v>9</v>
      </c>
      <c r="K20" s="357"/>
    </row>
    <row r="21" spans="1:11" x14ac:dyDescent="0.25">
      <c r="A21" s="4">
        <f t="shared" si="0"/>
        <v>10</v>
      </c>
      <c r="B21" s="932">
        <v>356</v>
      </c>
      <c r="C21" s="233" t="s">
        <v>649</v>
      </c>
      <c r="D21" s="6">
        <v>32465.773689999958</v>
      </c>
      <c r="E21" s="52"/>
      <c r="F21" s="232"/>
      <c r="G21" s="6">
        <v>0</v>
      </c>
      <c r="H21" s="52"/>
      <c r="I21" s="353"/>
      <c r="J21" s="4">
        <f t="shared" si="1"/>
        <v>10</v>
      </c>
      <c r="K21" s="357"/>
    </row>
    <row r="22" spans="1:11" x14ac:dyDescent="0.25">
      <c r="A22" s="4">
        <f t="shared" si="0"/>
        <v>11</v>
      </c>
      <c r="B22" s="932">
        <v>357</v>
      </c>
      <c r="C22" s="233" t="s">
        <v>329</v>
      </c>
      <c r="D22" s="6">
        <v>14587.15158999999</v>
      </c>
      <c r="E22" s="52"/>
      <c r="F22" s="232"/>
      <c r="G22" s="6">
        <v>0</v>
      </c>
      <c r="H22" s="52"/>
      <c r="I22" s="353"/>
      <c r="J22" s="4">
        <f t="shared" si="1"/>
        <v>11</v>
      </c>
      <c r="K22" s="357"/>
    </row>
    <row r="23" spans="1:11" x14ac:dyDescent="0.25">
      <c r="A23" s="4">
        <f t="shared" si="0"/>
        <v>12</v>
      </c>
      <c r="B23" s="932">
        <v>358</v>
      </c>
      <c r="C23" s="233" t="s">
        <v>650</v>
      </c>
      <c r="D23" s="6">
        <v>14772.927529999975</v>
      </c>
      <c r="E23" s="52"/>
      <c r="F23" s="232"/>
      <c r="G23" s="6">
        <v>0</v>
      </c>
      <c r="H23" s="52"/>
      <c r="I23" s="353"/>
      <c r="J23" s="4">
        <f t="shared" si="1"/>
        <v>12</v>
      </c>
      <c r="K23" s="357"/>
    </row>
    <row r="24" spans="1:11" x14ac:dyDescent="0.25">
      <c r="A24" s="4">
        <f t="shared" si="0"/>
        <v>13</v>
      </c>
      <c r="B24" s="418">
        <v>359</v>
      </c>
      <c r="C24" s="284" t="s">
        <v>651</v>
      </c>
      <c r="D24" s="6">
        <v>6916.9735099999889</v>
      </c>
      <c r="E24" s="52"/>
      <c r="F24" s="418" t="s">
        <v>263</v>
      </c>
      <c r="G24" s="6">
        <v>0</v>
      </c>
      <c r="H24" s="52"/>
      <c r="I24" s="68" t="s">
        <v>263</v>
      </c>
      <c r="J24" s="4">
        <f t="shared" si="1"/>
        <v>13</v>
      </c>
      <c r="K24" s="357"/>
    </row>
    <row r="25" spans="1:11" x14ac:dyDescent="0.25">
      <c r="A25" s="4">
        <f t="shared" si="0"/>
        <v>14</v>
      </c>
      <c r="B25" s="924"/>
      <c r="C25" s="924"/>
      <c r="D25" s="1287"/>
      <c r="E25" s="54"/>
      <c r="F25" s="924"/>
      <c r="G25" s="1287"/>
      <c r="H25" s="54"/>
      <c r="I25" s="924"/>
      <c r="J25" s="4">
        <f t="shared" si="1"/>
        <v>14</v>
      </c>
      <c r="K25" s="357"/>
    </row>
    <row r="26" spans="1:11" x14ac:dyDescent="0.25">
      <c r="A26" s="4">
        <f t="shared" si="0"/>
        <v>15</v>
      </c>
      <c r="B26" s="277"/>
      <c r="C26" s="277" t="s">
        <v>652</v>
      </c>
      <c r="D26" s="43">
        <f>'AJ-1A'!D40</f>
        <v>275455.229703333</v>
      </c>
      <c r="E26" s="1086" t="s">
        <v>2062</v>
      </c>
      <c r="F26" s="932" t="s">
        <v>653</v>
      </c>
      <c r="G26" s="43">
        <f>'AJ-1A'!J40</f>
        <v>262244.30897809606</v>
      </c>
      <c r="H26" s="1086" t="s">
        <v>2062</v>
      </c>
      <c r="I26" s="932" t="s">
        <v>654</v>
      </c>
      <c r="J26" s="4">
        <f t="shared" si="1"/>
        <v>15</v>
      </c>
      <c r="K26" s="357"/>
    </row>
    <row r="27" spans="1:11" x14ac:dyDescent="0.25">
      <c r="A27" s="4">
        <f t="shared" si="0"/>
        <v>16</v>
      </c>
      <c r="B27" s="116"/>
      <c r="C27" s="116"/>
      <c r="D27" s="966"/>
      <c r="E27" s="419"/>
      <c r="F27" s="116"/>
      <c r="G27" s="966"/>
      <c r="H27" s="419"/>
      <c r="I27" s="116"/>
      <c r="J27" s="4">
        <f t="shared" si="1"/>
        <v>16</v>
      </c>
      <c r="K27" s="357"/>
    </row>
    <row r="30" spans="1:11" ht="33" customHeight="1" x14ac:dyDescent="0.25">
      <c r="A30" s="1363" t="s">
        <v>2062</v>
      </c>
      <c r="B30" s="1362" t="s">
        <v>2130</v>
      </c>
      <c r="C30" s="1362"/>
      <c r="D30" s="1362"/>
      <c r="E30" s="1362"/>
      <c r="F30" s="1362"/>
      <c r="G30" s="1362"/>
      <c r="H30" s="1362"/>
      <c r="I30" s="1362"/>
    </row>
    <row r="31" spans="1:11" x14ac:dyDescent="0.25">
      <c r="A31" s="217"/>
      <c r="B31" s="1"/>
      <c r="C31" s="1"/>
    </row>
    <row r="32" spans="1:11" ht="18.75" x14ac:dyDescent="0.25">
      <c r="A32" s="265">
        <v>1</v>
      </c>
      <c r="B32" s="31" t="s">
        <v>655</v>
      </c>
    </row>
    <row r="33" spans="1:9" x14ac:dyDescent="0.25">
      <c r="A33" s="217"/>
      <c r="B33" s="31" t="s">
        <v>380</v>
      </c>
      <c r="I33" s="420"/>
    </row>
  </sheetData>
  <mergeCells count="6">
    <mergeCell ref="B30:I30"/>
    <mergeCell ref="B2:I2"/>
    <mergeCell ref="B3:I3"/>
    <mergeCell ref="B4:I4"/>
    <mergeCell ref="B5:I5"/>
    <mergeCell ref="B6:I6"/>
  </mergeCells>
  <printOptions horizontalCentered="1"/>
  <pageMargins left="0.5" right="0.5" top="0.5" bottom="0.5" header="0.25" footer="0.25"/>
  <pageSetup scale="65" orientation="landscape" r:id="rId1"/>
  <headerFooter scaleWithDoc="0">
    <oddFooter>&amp;C&amp;"Times New Roman,Regular"&amp;10&amp;A</oddFooter>
  </headerFooter>
  <customProperties>
    <customPr name="_pios_id"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P173"/>
  <sheetViews>
    <sheetView topLeftCell="A13" zoomScale="80" zoomScaleNormal="80" workbookViewId="0">
      <selection activeCell="P44" sqref="P44"/>
    </sheetView>
  </sheetViews>
  <sheetFormatPr defaultColWidth="8.7109375" defaultRowHeight="15.75" x14ac:dyDescent="0.25"/>
  <cols>
    <col min="1" max="1" width="5.28515625" style="4" customWidth="1"/>
    <col min="2" max="2" width="11.28515625" style="31" customWidth="1"/>
    <col min="3" max="3" width="35.7109375" style="31" customWidth="1"/>
    <col min="4" max="10" width="18.5703125" style="115" customWidth="1"/>
    <col min="11" max="11" width="25.5703125" style="6" customWidth="1"/>
    <col min="12" max="13" width="5.28515625" style="4" customWidth="1"/>
    <col min="14" max="14" width="12.28515625" style="31" customWidth="1"/>
    <col min="15" max="15" width="12.28515625" style="31" bestFit="1" customWidth="1"/>
    <col min="16" max="16384" width="8.7109375" style="31"/>
  </cols>
  <sheetData>
    <row r="1" spans="1:13" s="1" customFormat="1" x14ac:dyDescent="0.25">
      <c r="A1" s="217" t="s">
        <v>1</v>
      </c>
      <c r="L1" s="217"/>
      <c r="M1" s="217"/>
    </row>
    <row r="2" spans="1:13" s="1" customFormat="1" x14ac:dyDescent="0.25">
      <c r="A2" s="217"/>
      <c r="B2" s="1316" t="s">
        <v>0</v>
      </c>
      <c r="C2" s="1316"/>
      <c r="D2" s="1316"/>
      <c r="E2" s="1316"/>
      <c r="F2" s="1316"/>
      <c r="G2" s="1316"/>
      <c r="H2" s="1316"/>
      <c r="I2" s="1316"/>
      <c r="J2" s="1316"/>
      <c r="K2" s="1316"/>
      <c r="L2" s="217"/>
      <c r="M2" s="217"/>
    </row>
    <row r="3" spans="1:13" s="1" customFormat="1" x14ac:dyDescent="0.25">
      <c r="A3" s="217"/>
      <c r="B3" s="1316" t="s">
        <v>296</v>
      </c>
      <c r="C3" s="1316"/>
      <c r="D3" s="1316"/>
      <c r="E3" s="1316"/>
      <c r="F3" s="1316"/>
      <c r="G3" s="1316"/>
      <c r="H3" s="1316"/>
      <c r="I3" s="1316"/>
      <c r="J3" s="1316"/>
      <c r="K3" s="1316"/>
      <c r="L3" s="217"/>
      <c r="M3" s="217"/>
    </row>
    <row r="4" spans="1:13" ht="12.75" customHeight="1" x14ac:dyDescent="0.25">
      <c r="B4" s="1316" t="s">
        <v>656</v>
      </c>
      <c r="C4" s="1316"/>
      <c r="D4" s="1316"/>
      <c r="E4" s="1316"/>
      <c r="F4" s="1316"/>
      <c r="G4" s="1316"/>
      <c r="H4" s="1316"/>
      <c r="I4" s="1316"/>
      <c r="J4" s="1316"/>
      <c r="K4" s="1316"/>
      <c r="L4" s="217"/>
      <c r="M4" s="217"/>
    </row>
    <row r="5" spans="1:13" x14ac:dyDescent="0.25">
      <c r="B5" s="1316" t="s">
        <v>657</v>
      </c>
      <c r="C5" s="1316"/>
      <c r="D5" s="1316"/>
      <c r="E5" s="1316"/>
      <c r="F5" s="1316"/>
      <c r="G5" s="1316"/>
      <c r="H5" s="1316"/>
      <c r="I5" s="1316"/>
      <c r="J5" s="1316"/>
      <c r="K5" s="1316"/>
      <c r="L5" s="217"/>
      <c r="M5" s="217"/>
    </row>
    <row r="6" spans="1:13" x14ac:dyDescent="0.25">
      <c r="B6" s="1316" t="s">
        <v>2063</v>
      </c>
      <c r="C6" s="1316"/>
      <c r="D6" s="1316"/>
      <c r="E6" s="1316"/>
      <c r="F6" s="1316"/>
      <c r="G6" s="1316"/>
      <c r="H6" s="1316"/>
      <c r="I6" s="1316"/>
      <c r="J6" s="1316"/>
      <c r="K6" s="1316"/>
      <c r="L6" s="217"/>
      <c r="M6" s="217"/>
    </row>
    <row r="7" spans="1:13" x14ac:dyDescent="0.25">
      <c r="B7" s="1312" t="s">
        <v>4</v>
      </c>
      <c r="C7" s="1316"/>
      <c r="D7" s="1316"/>
      <c r="E7" s="1316"/>
      <c r="F7" s="1316"/>
      <c r="G7" s="1316"/>
      <c r="H7" s="1316"/>
      <c r="I7" s="1316"/>
      <c r="J7" s="1316"/>
      <c r="K7" s="1316"/>
      <c r="L7" s="217"/>
      <c r="M7" s="217"/>
    </row>
    <row r="8" spans="1:13" x14ac:dyDescent="0.25">
      <c r="C8" s="266"/>
      <c r="D8" s="267"/>
      <c r="E8" s="293" t="s">
        <v>658</v>
      </c>
      <c r="F8" s="293"/>
      <c r="G8" s="293"/>
      <c r="H8" s="293"/>
      <c r="I8" s="293"/>
      <c r="J8" s="293"/>
      <c r="K8" s="293"/>
    </row>
    <row r="9" spans="1:13" s="217" customFormat="1" x14ac:dyDescent="0.25">
      <c r="B9" s="925"/>
      <c r="C9" s="943"/>
      <c r="D9" s="944" t="s">
        <v>298</v>
      </c>
      <c r="E9" s="944" t="s">
        <v>299</v>
      </c>
      <c r="F9" s="944" t="s">
        <v>300</v>
      </c>
      <c r="G9" s="421" t="s">
        <v>301</v>
      </c>
      <c r="H9" s="944" t="s">
        <v>302</v>
      </c>
      <c r="I9" s="944" t="s">
        <v>303</v>
      </c>
      <c r="J9" s="944" t="s">
        <v>304</v>
      </c>
      <c r="K9" s="944"/>
    </row>
    <row r="10" spans="1:13" x14ac:dyDescent="0.25">
      <c r="B10" s="994"/>
      <c r="C10" s="926"/>
      <c r="D10" s="298"/>
      <c r="E10" s="294"/>
      <c r="F10" s="298"/>
      <c r="G10" s="422"/>
      <c r="H10" s="294" t="s">
        <v>659</v>
      </c>
      <c r="I10" s="295"/>
      <c r="J10" s="294"/>
      <c r="K10" s="945"/>
    </row>
    <row r="11" spans="1:13" x14ac:dyDescent="0.25">
      <c r="B11" s="994"/>
      <c r="C11" s="926"/>
      <c r="D11" s="298" t="s">
        <v>180</v>
      </c>
      <c r="E11" s="294" t="s">
        <v>290</v>
      </c>
      <c r="F11" s="298" t="s">
        <v>295</v>
      </c>
      <c r="G11" s="422" t="s">
        <v>295</v>
      </c>
      <c r="H11" s="294" t="s">
        <v>295</v>
      </c>
      <c r="I11" s="295" t="s">
        <v>660</v>
      </c>
      <c r="J11" s="294" t="s">
        <v>661</v>
      </c>
      <c r="K11" s="932"/>
    </row>
    <row r="12" spans="1:13" x14ac:dyDescent="0.25">
      <c r="B12" s="331"/>
      <c r="C12" s="233"/>
      <c r="D12" s="298" t="s">
        <v>295</v>
      </c>
      <c r="E12" s="995" t="s">
        <v>662</v>
      </c>
      <c r="F12" s="995" t="s">
        <v>662</v>
      </c>
      <c r="G12" s="267" t="s">
        <v>662</v>
      </c>
      <c r="H12" s="294" t="s">
        <v>646</v>
      </c>
      <c r="I12" s="299" t="s">
        <v>337</v>
      </c>
      <c r="J12" s="995" t="s">
        <v>646</v>
      </c>
      <c r="K12" s="269"/>
    </row>
    <row r="13" spans="1:13" ht="18.75" x14ac:dyDescent="0.25">
      <c r="A13" s="4" t="s">
        <v>5</v>
      </c>
      <c r="B13" s="318"/>
      <c r="C13" s="277"/>
      <c r="D13" s="423" t="s">
        <v>663</v>
      </c>
      <c r="E13" s="995" t="s">
        <v>664</v>
      </c>
      <c r="F13" s="995" t="s">
        <v>664</v>
      </c>
      <c r="G13" s="304" t="s">
        <v>664</v>
      </c>
      <c r="H13" s="425" t="s">
        <v>665</v>
      </c>
      <c r="I13" s="424" t="s">
        <v>666</v>
      </c>
      <c r="J13" s="425" t="s">
        <v>667</v>
      </c>
      <c r="K13" s="269"/>
      <c r="L13" s="4" t="s">
        <v>5</v>
      </c>
    </row>
    <row r="14" spans="1:13" ht="18.75" x14ac:dyDescent="0.25">
      <c r="A14" s="4" t="s">
        <v>6</v>
      </c>
      <c r="B14" s="305" t="s">
        <v>310</v>
      </c>
      <c r="C14" s="274" t="s">
        <v>311</v>
      </c>
      <c r="D14" s="275" t="s">
        <v>668</v>
      </c>
      <c r="E14" s="300" t="s">
        <v>313</v>
      </c>
      <c r="F14" s="300" t="s">
        <v>669</v>
      </c>
      <c r="G14" s="996" t="s">
        <v>670</v>
      </c>
      <c r="H14" s="274" t="s">
        <v>671</v>
      </c>
      <c r="I14" s="997" t="s">
        <v>672</v>
      </c>
      <c r="J14" s="274" t="s">
        <v>673</v>
      </c>
      <c r="K14" s="274" t="s">
        <v>8</v>
      </c>
      <c r="L14" s="4" t="s">
        <v>6</v>
      </c>
    </row>
    <row r="15" spans="1:13" x14ac:dyDescent="0.25">
      <c r="B15" s="233"/>
      <c r="C15" s="233" t="s">
        <v>318</v>
      </c>
      <c r="D15" s="233"/>
      <c r="E15" s="233"/>
      <c r="F15" s="233"/>
      <c r="G15" s="62"/>
      <c r="H15" s="233"/>
      <c r="I15" s="233"/>
      <c r="J15" s="233"/>
      <c r="K15" s="932"/>
    </row>
    <row r="16" spans="1:13" x14ac:dyDescent="0.25">
      <c r="A16" s="4">
        <v>1</v>
      </c>
      <c r="B16" s="947">
        <v>182</v>
      </c>
      <c r="C16" s="233" t="s">
        <v>674</v>
      </c>
      <c r="D16" s="953">
        <v>0</v>
      </c>
      <c r="E16" s="953">
        <v>0</v>
      </c>
      <c r="F16" s="953">
        <v>0</v>
      </c>
      <c r="G16" s="953">
        <v>0</v>
      </c>
      <c r="H16" s="231">
        <f>SUM(D16:G16)</f>
        <v>0</v>
      </c>
      <c r="I16" s="953">
        <v>0</v>
      </c>
      <c r="J16" s="231">
        <f t="shared" ref="J16:J21" si="0">+H16+I16</f>
        <v>0</v>
      </c>
      <c r="K16" s="932" t="s">
        <v>263</v>
      </c>
      <c r="L16" s="4">
        <f>A16</f>
        <v>1</v>
      </c>
    </row>
    <row r="17" spans="1:15" x14ac:dyDescent="0.25">
      <c r="A17" s="4">
        <f t="shared" ref="A17:A40" si="1">A16+1</f>
        <v>2</v>
      </c>
      <c r="B17" s="947">
        <v>186</v>
      </c>
      <c r="C17" s="233" t="s">
        <v>675</v>
      </c>
      <c r="D17" s="954">
        <v>0</v>
      </c>
      <c r="E17" s="954">
        <v>0</v>
      </c>
      <c r="F17" s="954">
        <v>0</v>
      </c>
      <c r="G17" s="954">
        <v>0</v>
      </c>
      <c r="H17" s="232">
        <f>SUM(D17:G17)</f>
        <v>0</v>
      </c>
      <c r="I17" s="954">
        <v>0</v>
      </c>
      <c r="J17" s="232">
        <f t="shared" si="0"/>
        <v>0</v>
      </c>
      <c r="K17" s="932" t="s">
        <v>263</v>
      </c>
      <c r="L17" s="4">
        <f t="shared" ref="L17:L40" si="2">L16+1</f>
        <v>2</v>
      </c>
    </row>
    <row r="18" spans="1:15" x14ac:dyDescent="0.25">
      <c r="A18" s="4">
        <f t="shared" si="1"/>
        <v>3</v>
      </c>
      <c r="B18" s="947">
        <v>303</v>
      </c>
      <c r="C18" s="233" t="s">
        <v>319</v>
      </c>
      <c r="D18" s="954">
        <v>0</v>
      </c>
      <c r="E18" s="954">
        <v>0</v>
      </c>
      <c r="F18" s="954">
        <v>0</v>
      </c>
      <c r="G18" s="954">
        <v>0</v>
      </c>
      <c r="H18" s="232">
        <f t="shared" ref="H18:H21" si="3">SUM(D18:G18)</f>
        <v>0</v>
      </c>
      <c r="I18" s="954">
        <v>0</v>
      </c>
      <c r="J18" s="232">
        <f t="shared" si="0"/>
        <v>0</v>
      </c>
      <c r="K18" s="932" t="s">
        <v>263</v>
      </c>
      <c r="L18" s="4">
        <f t="shared" si="2"/>
        <v>3</v>
      </c>
    </row>
    <row r="19" spans="1:15" x14ac:dyDescent="0.25">
      <c r="A19" s="4">
        <f t="shared" si="1"/>
        <v>4</v>
      </c>
      <c r="B19" s="947">
        <v>360</v>
      </c>
      <c r="C19" s="948" t="s">
        <v>676</v>
      </c>
      <c r="D19" s="954">
        <v>0</v>
      </c>
      <c r="E19" s="954">
        <v>0.21476499999999998</v>
      </c>
      <c r="F19" s="954">
        <v>0</v>
      </c>
      <c r="G19" s="954">
        <v>0</v>
      </c>
      <c r="H19" s="232">
        <f t="shared" si="3"/>
        <v>0.21476499999999998</v>
      </c>
      <c r="I19" s="954">
        <v>0</v>
      </c>
      <c r="J19" s="232">
        <f t="shared" si="0"/>
        <v>0.21476499999999998</v>
      </c>
      <c r="K19" s="932" t="s">
        <v>263</v>
      </c>
      <c r="L19" s="4">
        <f t="shared" si="2"/>
        <v>4</v>
      </c>
    </row>
    <row r="20" spans="1:15" x14ac:dyDescent="0.25">
      <c r="A20" s="4">
        <f t="shared" si="1"/>
        <v>5</v>
      </c>
      <c r="B20" s="947">
        <v>361</v>
      </c>
      <c r="C20" s="233" t="s">
        <v>322</v>
      </c>
      <c r="D20" s="954">
        <v>0</v>
      </c>
      <c r="E20" s="954">
        <v>57.502141444845599</v>
      </c>
      <c r="F20" s="954">
        <v>0</v>
      </c>
      <c r="G20" s="954">
        <v>0</v>
      </c>
      <c r="H20" s="232">
        <f t="shared" si="3"/>
        <v>57.502141444845599</v>
      </c>
      <c r="I20" s="954">
        <v>0</v>
      </c>
      <c r="J20" s="232">
        <f t="shared" si="0"/>
        <v>57.502141444845599</v>
      </c>
      <c r="K20" s="932" t="s">
        <v>263</v>
      </c>
      <c r="L20" s="4">
        <f t="shared" si="2"/>
        <v>5</v>
      </c>
    </row>
    <row r="21" spans="1:15" x14ac:dyDescent="0.25">
      <c r="A21" s="4">
        <f t="shared" si="1"/>
        <v>6</v>
      </c>
      <c r="B21" s="947">
        <v>362</v>
      </c>
      <c r="C21" s="233" t="s">
        <v>325</v>
      </c>
      <c r="D21" s="954">
        <v>0</v>
      </c>
      <c r="E21" s="954">
        <v>0</v>
      </c>
      <c r="F21" s="954">
        <v>0</v>
      </c>
      <c r="G21" s="954">
        <v>0</v>
      </c>
      <c r="H21" s="232">
        <f t="shared" si="3"/>
        <v>0</v>
      </c>
      <c r="I21" s="954">
        <v>0</v>
      </c>
      <c r="J21" s="232">
        <f t="shared" si="0"/>
        <v>0</v>
      </c>
      <c r="K21" s="932" t="s">
        <v>263</v>
      </c>
      <c r="L21" s="4">
        <f t="shared" si="2"/>
        <v>6</v>
      </c>
    </row>
    <row r="22" spans="1:15" x14ac:dyDescent="0.25">
      <c r="A22" s="4">
        <f t="shared" si="1"/>
        <v>7</v>
      </c>
      <c r="B22" s="932"/>
      <c r="C22" s="233"/>
      <c r="D22" s="998"/>
      <c r="E22" s="998"/>
      <c r="F22" s="232"/>
      <c r="G22" s="62"/>
      <c r="H22" s="233"/>
      <c r="I22" s="233"/>
      <c r="J22" s="233"/>
      <c r="K22" s="932"/>
      <c r="L22" s="4">
        <f t="shared" si="2"/>
        <v>7</v>
      </c>
    </row>
    <row r="23" spans="1:15" s="1" customFormat="1" x14ac:dyDescent="0.25">
      <c r="A23" s="4">
        <f t="shared" si="1"/>
        <v>8</v>
      </c>
      <c r="B23" s="949" t="s">
        <v>323</v>
      </c>
      <c r="C23" s="950" t="s">
        <v>324</v>
      </c>
      <c r="D23" s="999">
        <f t="shared" ref="D23:I23" si="4">SUM(D16:D22)</f>
        <v>0</v>
      </c>
      <c r="E23" s="999">
        <f t="shared" si="4"/>
        <v>57.716906444845598</v>
      </c>
      <c r="F23" s="951">
        <f t="shared" si="4"/>
        <v>0</v>
      </c>
      <c r="G23" s="235">
        <f t="shared" si="4"/>
        <v>0</v>
      </c>
      <c r="H23" s="951">
        <f t="shared" si="4"/>
        <v>57.716906444845598</v>
      </c>
      <c r="I23" s="951">
        <f t="shared" si="4"/>
        <v>0</v>
      </c>
      <c r="J23" s="951">
        <f>SUM(J16:J22)</f>
        <v>57.716906444845598</v>
      </c>
      <c r="K23" s="952" t="s">
        <v>143</v>
      </c>
      <c r="L23" s="4">
        <f t="shared" si="2"/>
        <v>8</v>
      </c>
      <c r="M23" s="4"/>
    </row>
    <row r="24" spans="1:15" x14ac:dyDescent="0.25">
      <c r="A24" s="4">
        <f t="shared" si="1"/>
        <v>9</v>
      </c>
      <c r="B24" s="932"/>
      <c r="C24" s="233"/>
      <c r="D24" s="954"/>
      <c r="E24" s="954"/>
      <c r="F24" s="232"/>
      <c r="G24" s="52"/>
      <c r="H24" s="52"/>
      <c r="I24" s="941"/>
      <c r="J24" s="233"/>
      <c r="K24" s="932"/>
      <c r="L24" s="4">
        <f t="shared" si="2"/>
        <v>9</v>
      </c>
      <c r="O24" s="426"/>
    </row>
    <row r="25" spans="1:15" x14ac:dyDescent="0.25">
      <c r="A25" s="4">
        <f t="shared" si="1"/>
        <v>10</v>
      </c>
      <c r="B25" s="947">
        <v>350</v>
      </c>
      <c r="C25" s="233" t="s">
        <v>321</v>
      </c>
      <c r="D25" s="953">
        <v>2102.7636599999992</v>
      </c>
      <c r="E25" s="953">
        <v>0</v>
      </c>
      <c r="F25" s="953">
        <v>0</v>
      </c>
      <c r="G25" s="953">
        <v>-11.572916504</v>
      </c>
      <c r="H25" s="231">
        <f>SUM(D25:G25)</f>
        <v>2091.190743495999</v>
      </c>
      <c r="I25" s="953">
        <v>0</v>
      </c>
      <c r="J25" s="231">
        <f t="shared" ref="J25:J36" si="5">H25+I25</f>
        <v>2091.190743495999</v>
      </c>
      <c r="K25" s="932" t="s">
        <v>263</v>
      </c>
      <c r="L25" s="4">
        <f t="shared" si="2"/>
        <v>10</v>
      </c>
    </row>
    <row r="26" spans="1:15" x14ac:dyDescent="0.25">
      <c r="A26" s="4">
        <f t="shared" si="1"/>
        <v>11</v>
      </c>
      <c r="B26" s="947">
        <v>351.1</v>
      </c>
      <c r="C26" s="233" t="s">
        <v>1492</v>
      </c>
      <c r="D26" s="954">
        <v>0</v>
      </c>
      <c r="E26" s="954">
        <v>0</v>
      </c>
      <c r="F26" s="954">
        <v>0</v>
      </c>
      <c r="G26" s="954">
        <v>0</v>
      </c>
      <c r="H26" s="954">
        <v>0</v>
      </c>
      <c r="I26" s="954">
        <v>0</v>
      </c>
      <c r="J26" s="232">
        <f t="shared" ref="J26:J28" si="6">+H26+I26</f>
        <v>0</v>
      </c>
      <c r="K26" s="932" t="s">
        <v>263</v>
      </c>
      <c r="L26" s="4">
        <f t="shared" si="2"/>
        <v>11</v>
      </c>
    </row>
    <row r="27" spans="1:15" x14ac:dyDescent="0.25">
      <c r="A27" s="4">
        <f t="shared" si="1"/>
        <v>12</v>
      </c>
      <c r="B27" s="947">
        <v>351.2</v>
      </c>
      <c r="C27" s="233" t="s">
        <v>1493</v>
      </c>
      <c r="D27" s="954">
        <v>436.20391000000001</v>
      </c>
      <c r="E27" s="954">
        <v>0</v>
      </c>
      <c r="F27" s="954">
        <v>0</v>
      </c>
      <c r="G27" s="954">
        <v>0</v>
      </c>
      <c r="H27" s="954">
        <v>0</v>
      </c>
      <c r="I27" s="954">
        <v>0</v>
      </c>
      <c r="J27" s="232">
        <f t="shared" si="6"/>
        <v>0</v>
      </c>
      <c r="K27" s="932" t="s">
        <v>263</v>
      </c>
      <c r="L27" s="4">
        <f t="shared" si="2"/>
        <v>12</v>
      </c>
    </row>
    <row r="28" spans="1:15" x14ac:dyDescent="0.25">
      <c r="A28" s="4">
        <f t="shared" si="1"/>
        <v>13</v>
      </c>
      <c r="B28" s="947">
        <v>351.3</v>
      </c>
      <c r="C28" s="233" t="s">
        <v>1494</v>
      </c>
      <c r="D28" s="954">
        <v>8385.34976333333</v>
      </c>
      <c r="E28" s="954">
        <v>0</v>
      </c>
      <c r="F28" s="954">
        <v>0</v>
      </c>
      <c r="G28" s="954">
        <v>0</v>
      </c>
      <c r="H28" s="954">
        <v>0</v>
      </c>
      <c r="I28" s="954">
        <v>0</v>
      </c>
      <c r="J28" s="232">
        <f t="shared" si="6"/>
        <v>0</v>
      </c>
      <c r="K28" s="932" t="s">
        <v>263</v>
      </c>
      <c r="L28" s="4">
        <f t="shared" si="2"/>
        <v>13</v>
      </c>
    </row>
    <row r="29" spans="1:15" x14ac:dyDescent="0.25">
      <c r="A29" s="4">
        <f t="shared" si="1"/>
        <v>14</v>
      </c>
      <c r="B29" s="947">
        <v>352</v>
      </c>
      <c r="C29" s="233" t="s">
        <v>322</v>
      </c>
      <c r="D29" s="954">
        <v>23843.677729999985</v>
      </c>
      <c r="E29" s="954">
        <v>0</v>
      </c>
      <c r="F29" s="954">
        <v>-45.482200144029257</v>
      </c>
      <c r="G29" s="954">
        <v>-3801.3269769784447</v>
      </c>
      <c r="H29" s="232">
        <f>SUM(D29:G29)</f>
        <v>19996.86855287751</v>
      </c>
      <c r="I29" s="954">
        <v>0</v>
      </c>
      <c r="J29" s="232">
        <f t="shared" si="5"/>
        <v>19996.86855287751</v>
      </c>
      <c r="K29" s="932" t="s">
        <v>263</v>
      </c>
      <c r="L29" s="4">
        <f t="shared" si="2"/>
        <v>14</v>
      </c>
      <c r="M29" s="357"/>
      <c r="N29" s="427"/>
    </row>
    <row r="30" spans="1:15" x14ac:dyDescent="0.25">
      <c r="A30" s="4">
        <f t="shared" si="1"/>
        <v>15</v>
      </c>
      <c r="B30" s="947">
        <v>353</v>
      </c>
      <c r="C30" s="233" t="s">
        <v>325</v>
      </c>
      <c r="D30" s="954">
        <v>87170.531099999876</v>
      </c>
      <c r="E30" s="954">
        <v>0</v>
      </c>
      <c r="F30" s="954">
        <v>-468.38579923527351</v>
      </c>
      <c r="G30" s="954">
        <v>-83.894972176685229</v>
      </c>
      <c r="H30" s="232">
        <f t="shared" ref="H30:H36" si="7">SUM(D30:G30)</f>
        <v>86618.250328587921</v>
      </c>
      <c r="I30" s="954">
        <v>0</v>
      </c>
      <c r="J30" s="232">
        <f t="shared" si="5"/>
        <v>86618.250328587921</v>
      </c>
      <c r="K30" s="932" t="s">
        <v>263</v>
      </c>
      <c r="L30" s="4">
        <f t="shared" si="2"/>
        <v>15</v>
      </c>
      <c r="M30" s="357"/>
      <c r="N30" s="428"/>
    </row>
    <row r="31" spans="1:15" x14ac:dyDescent="0.25">
      <c r="A31" s="4">
        <f t="shared" si="1"/>
        <v>16</v>
      </c>
      <c r="B31" s="947">
        <v>354</v>
      </c>
      <c r="C31" s="233" t="s">
        <v>326</v>
      </c>
      <c r="D31" s="954">
        <v>23268.403649999946</v>
      </c>
      <c r="E31" s="954">
        <v>0</v>
      </c>
      <c r="F31" s="954"/>
      <c r="G31" s="954">
        <v>0</v>
      </c>
      <c r="H31" s="232">
        <f t="shared" si="7"/>
        <v>23268.403649999946</v>
      </c>
      <c r="I31" s="954">
        <v>0</v>
      </c>
      <c r="J31" s="232">
        <f t="shared" si="5"/>
        <v>23268.403649999946</v>
      </c>
      <c r="K31" s="932" t="s">
        <v>263</v>
      </c>
      <c r="L31" s="4">
        <f t="shared" si="2"/>
        <v>16</v>
      </c>
      <c r="M31" s="357"/>
    </row>
    <row r="32" spans="1:15" x14ac:dyDescent="0.25">
      <c r="A32" s="4">
        <f t="shared" si="1"/>
        <v>17</v>
      </c>
      <c r="B32" s="947">
        <v>355</v>
      </c>
      <c r="C32" s="233" t="s">
        <v>327</v>
      </c>
      <c r="D32" s="954">
        <v>61505.47356999998</v>
      </c>
      <c r="E32" s="954">
        <v>0</v>
      </c>
      <c r="F32" s="954"/>
      <c r="G32" s="954">
        <v>0</v>
      </c>
      <c r="H32" s="232">
        <f t="shared" si="7"/>
        <v>61505.47356999998</v>
      </c>
      <c r="I32" s="954">
        <v>0</v>
      </c>
      <c r="J32" s="232">
        <f t="shared" si="5"/>
        <v>61505.47356999998</v>
      </c>
      <c r="K32" s="932" t="s">
        <v>263</v>
      </c>
      <c r="L32" s="4">
        <f t="shared" si="2"/>
        <v>17</v>
      </c>
      <c r="M32" s="357"/>
    </row>
    <row r="33" spans="1:16" x14ac:dyDescent="0.25">
      <c r="A33" s="4">
        <f t="shared" si="1"/>
        <v>18</v>
      </c>
      <c r="B33" s="947">
        <v>356</v>
      </c>
      <c r="C33" s="233" t="s">
        <v>328</v>
      </c>
      <c r="D33" s="954">
        <v>32465.773689999958</v>
      </c>
      <c r="E33" s="954">
        <v>0</v>
      </c>
      <c r="F33" s="954"/>
      <c r="G33" s="954">
        <v>0</v>
      </c>
      <c r="H33" s="232">
        <f t="shared" si="7"/>
        <v>32465.773689999958</v>
      </c>
      <c r="I33" s="954">
        <v>0</v>
      </c>
      <c r="J33" s="232">
        <f t="shared" si="5"/>
        <v>32465.773689999958</v>
      </c>
      <c r="K33" s="932" t="s">
        <v>263</v>
      </c>
      <c r="L33" s="4">
        <f t="shared" si="2"/>
        <v>18</v>
      </c>
      <c r="M33" s="357"/>
    </row>
    <row r="34" spans="1:16" x14ac:dyDescent="0.25">
      <c r="A34" s="4">
        <f t="shared" si="1"/>
        <v>19</v>
      </c>
      <c r="B34" s="947">
        <v>357</v>
      </c>
      <c r="C34" s="233" t="s">
        <v>329</v>
      </c>
      <c r="D34" s="954">
        <v>14587.15158999999</v>
      </c>
      <c r="E34" s="954">
        <v>0</v>
      </c>
      <c r="F34" s="954"/>
      <c r="G34" s="954">
        <v>0</v>
      </c>
      <c r="H34" s="232">
        <f t="shared" si="7"/>
        <v>14587.15158999999</v>
      </c>
      <c r="I34" s="954">
        <v>0</v>
      </c>
      <c r="J34" s="232">
        <f t="shared" si="5"/>
        <v>14587.15158999999</v>
      </c>
      <c r="K34" s="932" t="s">
        <v>263</v>
      </c>
      <c r="L34" s="4">
        <f t="shared" si="2"/>
        <v>19</v>
      </c>
      <c r="M34" s="357"/>
    </row>
    <row r="35" spans="1:16" x14ac:dyDescent="0.25">
      <c r="A35" s="4">
        <f t="shared" si="1"/>
        <v>20</v>
      </c>
      <c r="B35" s="947">
        <v>358</v>
      </c>
      <c r="C35" s="233" t="s">
        <v>330</v>
      </c>
      <c r="D35" s="954">
        <v>14772.927529999975</v>
      </c>
      <c r="E35" s="954">
        <v>0</v>
      </c>
      <c r="F35" s="954">
        <v>-36.421093310107921</v>
      </c>
      <c r="G35" s="954">
        <v>0</v>
      </c>
      <c r="H35" s="232">
        <f t="shared" si="7"/>
        <v>14736.506436689868</v>
      </c>
      <c r="I35" s="954">
        <v>0</v>
      </c>
      <c r="J35" s="232">
        <f t="shared" si="5"/>
        <v>14736.506436689868</v>
      </c>
      <c r="K35" s="932" t="s">
        <v>263</v>
      </c>
      <c r="L35" s="4">
        <f t="shared" si="2"/>
        <v>20</v>
      </c>
      <c r="M35" s="357"/>
    </row>
    <row r="36" spans="1:16" x14ac:dyDescent="0.25">
      <c r="A36" s="4">
        <f t="shared" si="1"/>
        <v>21</v>
      </c>
      <c r="B36" s="947">
        <v>359</v>
      </c>
      <c r="C36" s="233" t="s">
        <v>331</v>
      </c>
      <c r="D36" s="954">
        <v>6916.9735099999889</v>
      </c>
      <c r="E36" s="954">
        <v>0</v>
      </c>
      <c r="F36" s="954">
        <v>0</v>
      </c>
      <c r="G36" s="954">
        <v>0</v>
      </c>
      <c r="H36" s="232">
        <f t="shared" si="7"/>
        <v>6916.9735099999889</v>
      </c>
      <c r="I36" s="954">
        <v>0</v>
      </c>
      <c r="J36" s="232">
        <f t="shared" si="5"/>
        <v>6916.9735099999889</v>
      </c>
      <c r="K36" s="932" t="s">
        <v>263</v>
      </c>
      <c r="L36" s="4">
        <f t="shared" si="2"/>
        <v>21</v>
      </c>
      <c r="M36" s="357"/>
    </row>
    <row r="37" spans="1:16" x14ac:dyDescent="0.25">
      <c r="A37" s="4">
        <f t="shared" si="1"/>
        <v>22</v>
      </c>
      <c r="B37" s="971"/>
      <c r="C37" s="233"/>
      <c r="D37" s="232" t="s">
        <v>1</v>
      </c>
      <c r="E37" s="93"/>
      <c r="F37" s="93"/>
      <c r="G37" s="6"/>
      <c r="H37" s="93"/>
      <c r="I37" s="93"/>
      <c r="J37" s="93"/>
      <c r="K37" s="947"/>
      <c r="L37" s="4">
        <f t="shared" si="2"/>
        <v>22</v>
      </c>
      <c r="M37" s="357"/>
    </row>
    <row r="38" spans="1:16" x14ac:dyDescent="0.25">
      <c r="A38" s="4">
        <f t="shared" si="1"/>
        <v>23</v>
      </c>
      <c r="B38" s="955" t="s">
        <v>323</v>
      </c>
      <c r="C38" s="950" t="s">
        <v>294</v>
      </c>
      <c r="D38" s="951">
        <f t="shared" ref="D38:J38" si="8">SUM(D25:D37)</f>
        <v>275455.229703333</v>
      </c>
      <c r="E38" s="951">
        <f t="shared" si="8"/>
        <v>0</v>
      </c>
      <c r="F38" s="951">
        <f t="shared" si="8"/>
        <v>-550.28909268941072</v>
      </c>
      <c r="G38" s="235">
        <f t="shared" si="8"/>
        <v>-3896.7948656591302</v>
      </c>
      <c r="H38" s="951">
        <f t="shared" si="8"/>
        <v>262186.59207165119</v>
      </c>
      <c r="I38" s="951">
        <f t="shared" si="8"/>
        <v>0</v>
      </c>
      <c r="J38" s="951">
        <f t="shared" si="8"/>
        <v>262186.59207165119</v>
      </c>
      <c r="K38" s="956" t="s">
        <v>1505</v>
      </c>
      <c r="L38" s="4">
        <f t="shared" si="2"/>
        <v>23</v>
      </c>
      <c r="M38" s="357"/>
    </row>
    <row r="39" spans="1:16" x14ac:dyDescent="0.25">
      <c r="A39" s="4">
        <f t="shared" si="1"/>
        <v>24</v>
      </c>
      <c r="B39" s="331"/>
      <c r="D39" s="31"/>
      <c r="E39" s="6"/>
      <c r="F39" s="6"/>
      <c r="G39" s="6"/>
      <c r="H39" s="6"/>
      <c r="I39" s="6"/>
      <c r="J39" s="6"/>
      <c r="K39" s="429"/>
      <c r="L39" s="4">
        <f t="shared" si="2"/>
        <v>24</v>
      </c>
      <c r="M39" s="357"/>
    </row>
    <row r="40" spans="1:16" x14ac:dyDescent="0.25">
      <c r="A40" s="4">
        <f t="shared" si="1"/>
        <v>25</v>
      </c>
      <c r="B40" s="332" t="s">
        <v>332</v>
      </c>
      <c r="C40" s="957"/>
      <c r="D40" s="575">
        <f t="shared" ref="D40:J40" si="9">D38+D23</f>
        <v>275455.229703333</v>
      </c>
      <c r="E40" s="575">
        <f t="shared" si="9"/>
        <v>57.716906444845598</v>
      </c>
      <c r="F40" s="575">
        <f t="shared" si="9"/>
        <v>-550.28909268941072</v>
      </c>
      <c r="G40" s="63">
        <f t="shared" si="9"/>
        <v>-3896.7948656591302</v>
      </c>
      <c r="H40" s="575">
        <f t="shared" si="9"/>
        <v>262244.30897809606</v>
      </c>
      <c r="I40" s="575">
        <f t="shared" si="9"/>
        <v>0</v>
      </c>
      <c r="J40" s="575">
        <f t="shared" si="9"/>
        <v>262244.30897809606</v>
      </c>
      <c r="K40" s="952" t="s">
        <v>1506</v>
      </c>
      <c r="L40" s="4">
        <f t="shared" si="2"/>
        <v>25</v>
      </c>
      <c r="M40" s="357"/>
      <c r="N40"/>
      <c r="O40"/>
      <c r="P40"/>
    </row>
    <row r="41" spans="1:16" x14ac:dyDescent="0.25">
      <c r="D41" s="31"/>
      <c r="E41" s="6"/>
      <c r="F41" s="6"/>
      <c r="G41" s="6"/>
      <c r="H41" s="6"/>
      <c r="I41" s="6"/>
      <c r="J41" s="6"/>
    </row>
    <row r="42" spans="1:16" x14ac:dyDescent="0.25">
      <c r="D42" s="31"/>
      <c r="E42" s="6"/>
      <c r="F42" s="6"/>
      <c r="G42" s="6"/>
      <c r="H42" s="6"/>
      <c r="I42" s="6"/>
      <c r="J42" s="6"/>
    </row>
    <row r="43" spans="1:16" x14ac:dyDescent="0.25">
      <c r="B43" s="31" t="s">
        <v>677</v>
      </c>
      <c r="D43" s="2"/>
      <c r="E43" s="6"/>
      <c r="F43" s="6"/>
      <c r="G43" s="6"/>
      <c r="H43" s="6"/>
      <c r="I43" s="6"/>
      <c r="J43" s="6"/>
    </row>
    <row r="44" spans="1:16" x14ac:dyDescent="0.25">
      <c r="D44" s="31"/>
    </row>
    <row r="45" spans="1:16" ht="18.75" x14ac:dyDescent="0.25">
      <c r="A45" s="265">
        <v>1</v>
      </c>
      <c r="B45" s="31" t="s">
        <v>678</v>
      </c>
      <c r="D45" s="31"/>
    </row>
    <row r="46" spans="1:16" ht="18.75" x14ac:dyDescent="0.25">
      <c r="A46" s="265">
        <v>2</v>
      </c>
      <c r="B46" s="31" t="s">
        <v>679</v>
      </c>
      <c r="D46" s="31"/>
    </row>
    <row r="47" spans="1:16" s="115" customFormat="1" x14ac:dyDescent="0.25">
      <c r="A47" s="4"/>
      <c r="B47" s="31" t="s">
        <v>680</v>
      </c>
      <c r="C47" s="31"/>
      <c r="D47" s="31"/>
      <c r="K47" s="6"/>
      <c r="L47" s="4"/>
      <c r="M47" s="4"/>
      <c r="N47" s="31"/>
      <c r="O47" s="31"/>
    </row>
    <row r="48" spans="1:16" s="115" customFormat="1" ht="18.75" x14ac:dyDescent="0.25">
      <c r="A48" s="265"/>
      <c r="B48" s="31"/>
      <c r="C48" s="31"/>
      <c r="D48" s="31"/>
      <c r="G48" s="430"/>
      <c r="K48" s="6"/>
      <c r="L48" s="4"/>
      <c r="M48" s="4"/>
      <c r="N48" s="31"/>
      <c r="O48" s="31"/>
    </row>
    <row r="49" spans="1:15" s="115" customFormat="1" x14ac:dyDescent="0.25">
      <c r="A49" s="4"/>
      <c r="B49" s="31"/>
      <c r="C49" s="31"/>
      <c r="D49" s="31"/>
      <c r="K49" s="6"/>
      <c r="L49" s="4"/>
      <c r="M49" s="4"/>
      <c r="N49" s="31"/>
      <c r="O49" s="31"/>
    </row>
    <row r="50" spans="1:15" s="115" customFormat="1" x14ac:dyDescent="0.25">
      <c r="A50" s="4"/>
      <c r="B50" s="31"/>
      <c r="C50" s="31"/>
      <c r="D50" s="31"/>
      <c r="K50" s="6"/>
      <c r="L50" s="4"/>
      <c r="M50" s="4"/>
      <c r="N50" s="31"/>
      <c r="O50" s="31"/>
    </row>
    <row r="51" spans="1:15" s="115" customFormat="1" x14ac:dyDescent="0.25">
      <c r="A51" s="4"/>
      <c r="B51" s="31"/>
      <c r="C51" s="31"/>
      <c r="D51" s="31"/>
      <c r="K51" s="6"/>
      <c r="L51" s="4"/>
      <c r="M51" s="4"/>
      <c r="N51" s="31"/>
      <c r="O51" s="31"/>
    </row>
    <row r="52" spans="1:15" s="115" customFormat="1" x14ac:dyDescent="0.25">
      <c r="A52" s="4"/>
      <c r="B52" s="31"/>
      <c r="C52" s="31"/>
      <c r="D52" s="31"/>
      <c r="K52" s="6"/>
      <c r="L52" s="4"/>
      <c r="M52" s="4"/>
      <c r="N52" s="31"/>
      <c r="O52" s="31"/>
    </row>
    <row r="53" spans="1:15" s="115" customFormat="1" x14ac:dyDescent="0.25">
      <c r="A53" s="4"/>
      <c r="B53" s="31"/>
      <c r="C53" s="31"/>
      <c r="D53" s="31"/>
      <c r="K53" s="6"/>
      <c r="L53" s="4"/>
      <c r="M53" s="4"/>
      <c r="N53" s="31"/>
      <c r="O53" s="31"/>
    </row>
    <row r="54" spans="1:15" s="115" customFormat="1" x14ac:dyDescent="0.25">
      <c r="A54" s="4"/>
      <c r="B54" s="31"/>
      <c r="C54" s="31"/>
      <c r="D54" s="31"/>
      <c r="K54" s="6"/>
      <c r="L54" s="4"/>
      <c r="M54" s="4"/>
      <c r="N54" s="31"/>
      <c r="O54" s="31"/>
    </row>
    <row r="55" spans="1:15" s="115" customFormat="1" x14ac:dyDescent="0.25">
      <c r="A55" s="4"/>
      <c r="B55" s="31"/>
      <c r="C55" s="31"/>
      <c r="D55" s="31"/>
      <c r="K55" s="6"/>
      <c r="L55" s="4"/>
      <c r="M55" s="4"/>
      <c r="N55" s="31"/>
      <c r="O55" s="31"/>
    </row>
    <row r="56" spans="1:15" s="115" customFormat="1" x14ac:dyDescent="0.25">
      <c r="A56" s="4"/>
      <c r="B56" s="31"/>
      <c r="C56" s="31"/>
      <c r="D56" s="31"/>
      <c r="K56" s="6"/>
      <c r="L56" s="4"/>
      <c r="M56" s="4"/>
      <c r="N56" s="31"/>
      <c r="O56" s="31"/>
    </row>
    <row r="57" spans="1:15" s="115" customFormat="1" x14ac:dyDescent="0.25">
      <c r="A57" s="4"/>
      <c r="B57" s="31"/>
      <c r="C57" s="31"/>
      <c r="D57" s="31"/>
      <c r="K57" s="6"/>
      <c r="L57" s="4"/>
      <c r="M57" s="4"/>
      <c r="N57" s="31"/>
      <c r="O57" s="31"/>
    </row>
    <row r="58" spans="1:15" s="115" customFormat="1" x14ac:dyDescent="0.25">
      <c r="A58" s="4"/>
      <c r="B58" s="31"/>
      <c r="C58" s="31"/>
      <c r="D58" s="31"/>
      <c r="K58" s="6"/>
      <c r="L58" s="4"/>
      <c r="M58" s="4"/>
      <c r="N58" s="31"/>
      <c r="O58" s="31"/>
    </row>
    <row r="59" spans="1:15" s="115" customFormat="1" x14ac:dyDescent="0.25">
      <c r="A59" s="4"/>
      <c r="B59" s="31"/>
      <c r="C59" s="31"/>
      <c r="D59" s="31"/>
      <c r="K59" s="6"/>
      <c r="L59" s="4"/>
      <c r="M59" s="4"/>
      <c r="N59" s="31"/>
      <c r="O59" s="31"/>
    </row>
    <row r="60" spans="1:15" s="115" customFormat="1" x14ac:dyDescent="0.25">
      <c r="A60" s="4"/>
      <c r="B60" s="31"/>
      <c r="C60" s="31"/>
      <c r="D60" s="31"/>
      <c r="K60" s="6"/>
      <c r="L60" s="4"/>
      <c r="M60" s="4"/>
      <c r="N60" s="31"/>
      <c r="O60" s="31"/>
    </row>
    <row r="61" spans="1:15" s="115" customFormat="1" x14ac:dyDescent="0.25">
      <c r="A61" s="4"/>
      <c r="B61" s="31"/>
      <c r="C61" s="31"/>
      <c r="D61" s="31"/>
      <c r="K61" s="6"/>
      <c r="L61" s="4"/>
      <c r="M61" s="4"/>
      <c r="N61" s="31"/>
      <c r="O61" s="31"/>
    </row>
    <row r="62" spans="1:15" s="115" customFormat="1" x14ac:dyDescent="0.25">
      <c r="A62" s="4"/>
      <c r="B62" s="31"/>
      <c r="C62" s="31"/>
      <c r="D62" s="31"/>
      <c r="K62" s="6"/>
      <c r="L62" s="4"/>
      <c r="M62" s="4"/>
      <c r="N62" s="31"/>
      <c r="O62" s="31"/>
    </row>
    <row r="63" spans="1:15" s="115" customFormat="1" x14ac:dyDescent="0.25">
      <c r="A63" s="4"/>
      <c r="B63" s="31"/>
      <c r="C63" s="31"/>
      <c r="D63" s="31"/>
      <c r="K63" s="6"/>
      <c r="L63" s="4"/>
      <c r="M63" s="4"/>
      <c r="N63" s="31"/>
      <c r="O63" s="31"/>
    </row>
    <row r="64" spans="1:15" s="115" customFormat="1" x14ac:dyDescent="0.25">
      <c r="A64" s="4"/>
      <c r="B64" s="31"/>
      <c r="C64" s="31"/>
      <c r="D64" s="31"/>
      <c r="K64" s="6"/>
      <c r="L64" s="4"/>
      <c r="M64" s="4"/>
      <c r="N64" s="31"/>
      <c r="O64" s="31"/>
    </row>
    <row r="65" spans="1:15" s="115" customFormat="1" x14ac:dyDescent="0.25">
      <c r="A65" s="4"/>
      <c r="B65" s="31"/>
      <c r="C65" s="31"/>
      <c r="D65" s="31"/>
      <c r="K65" s="6"/>
      <c r="L65" s="4"/>
      <c r="M65" s="4"/>
      <c r="N65" s="31"/>
      <c r="O65" s="31"/>
    </row>
    <row r="66" spans="1:15" s="115" customFormat="1" x14ac:dyDescent="0.25">
      <c r="A66" s="4"/>
      <c r="B66" s="31"/>
      <c r="C66" s="31"/>
      <c r="D66" s="31"/>
      <c r="K66" s="6"/>
      <c r="L66" s="4"/>
      <c r="M66" s="4"/>
      <c r="N66" s="31"/>
      <c r="O66" s="31"/>
    </row>
    <row r="67" spans="1:15" s="115" customFormat="1" x14ac:dyDescent="0.25">
      <c r="A67" s="4"/>
      <c r="B67" s="31"/>
      <c r="C67" s="31"/>
      <c r="D67" s="31"/>
      <c r="K67" s="6"/>
      <c r="L67" s="4"/>
      <c r="M67" s="4"/>
      <c r="N67" s="31"/>
      <c r="O67" s="31"/>
    </row>
    <row r="68" spans="1:15" s="115" customFormat="1" x14ac:dyDescent="0.25">
      <c r="A68" s="4"/>
      <c r="B68" s="31"/>
      <c r="C68" s="31"/>
      <c r="D68" s="31"/>
      <c r="K68" s="6"/>
      <c r="L68" s="4"/>
      <c r="M68" s="4"/>
      <c r="N68" s="31"/>
      <c r="O68" s="31"/>
    </row>
    <row r="69" spans="1:15" s="115" customFormat="1" x14ac:dyDescent="0.25">
      <c r="A69" s="4"/>
      <c r="B69" s="31"/>
      <c r="C69" s="31"/>
      <c r="D69" s="31"/>
      <c r="K69" s="6"/>
      <c r="L69" s="4"/>
      <c r="M69" s="4"/>
      <c r="N69" s="31"/>
      <c r="O69" s="31"/>
    </row>
    <row r="70" spans="1:15" s="115" customFormat="1" x14ac:dyDescent="0.25">
      <c r="A70" s="4"/>
      <c r="B70" s="31"/>
      <c r="C70" s="31"/>
      <c r="D70" s="31"/>
      <c r="K70" s="6"/>
      <c r="L70" s="4"/>
      <c r="M70" s="4"/>
      <c r="N70" s="31"/>
      <c r="O70" s="31"/>
    </row>
    <row r="71" spans="1:15" s="115" customFormat="1" x14ac:dyDescent="0.25">
      <c r="A71" s="4"/>
      <c r="B71" s="31"/>
      <c r="C71" s="31"/>
      <c r="D71" s="31"/>
      <c r="K71" s="6"/>
      <c r="L71" s="4"/>
      <c r="M71" s="4"/>
      <c r="N71" s="31"/>
      <c r="O71" s="31"/>
    </row>
    <row r="72" spans="1:15" s="115" customFormat="1" x14ac:dyDescent="0.25">
      <c r="A72" s="4"/>
      <c r="B72" s="31"/>
      <c r="C72" s="31"/>
      <c r="D72" s="31"/>
      <c r="K72" s="6"/>
      <c r="L72" s="4"/>
      <c r="M72" s="4"/>
      <c r="N72" s="31"/>
      <c r="O72" s="31"/>
    </row>
    <row r="73" spans="1:15" s="115" customFormat="1" x14ac:dyDescent="0.25">
      <c r="A73" s="4"/>
      <c r="B73" s="31"/>
      <c r="C73" s="31"/>
      <c r="D73" s="31"/>
      <c r="K73" s="6"/>
      <c r="L73" s="4"/>
      <c r="M73" s="4"/>
      <c r="N73" s="31"/>
      <c r="O73" s="31"/>
    </row>
    <row r="74" spans="1:15" s="115" customFormat="1" x14ac:dyDescent="0.25">
      <c r="A74" s="4"/>
      <c r="B74" s="31"/>
      <c r="C74" s="31"/>
      <c r="D74" s="31"/>
      <c r="K74" s="6"/>
      <c r="L74" s="4"/>
      <c r="M74" s="4"/>
      <c r="N74" s="31"/>
      <c r="O74" s="31"/>
    </row>
    <row r="75" spans="1:15" s="115" customFormat="1" x14ac:dyDescent="0.25">
      <c r="A75" s="4"/>
      <c r="B75" s="31"/>
      <c r="C75" s="31"/>
      <c r="D75" s="31"/>
      <c r="K75" s="6"/>
      <c r="L75" s="4"/>
      <c r="M75" s="4"/>
      <c r="N75" s="31"/>
      <c r="O75" s="31"/>
    </row>
    <row r="76" spans="1:15" s="115" customFormat="1" x14ac:dyDescent="0.25">
      <c r="A76" s="4"/>
      <c r="B76" s="31"/>
      <c r="C76" s="31"/>
      <c r="D76" s="31"/>
      <c r="K76" s="6"/>
      <c r="L76" s="4"/>
      <c r="M76" s="4"/>
      <c r="N76" s="31"/>
      <c r="O76" s="31"/>
    </row>
    <row r="77" spans="1:15" s="115" customFormat="1" x14ac:dyDescent="0.25">
      <c r="A77" s="4"/>
      <c r="B77" s="31"/>
      <c r="C77" s="31"/>
      <c r="D77" s="31"/>
      <c r="K77" s="6"/>
      <c r="L77" s="4"/>
      <c r="M77" s="4"/>
      <c r="N77" s="31"/>
      <c r="O77" s="31"/>
    </row>
    <row r="78" spans="1:15" s="115" customFormat="1" x14ac:dyDescent="0.25">
      <c r="A78" s="4"/>
      <c r="B78" s="31"/>
      <c r="C78" s="31"/>
      <c r="D78" s="31"/>
      <c r="K78" s="6"/>
      <c r="L78" s="4"/>
      <c r="M78" s="4"/>
      <c r="N78" s="31"/>
      <c r="O78" s="31"/>
    </row>
    <row r="79" spans="1:15" s="115" customFormat="1" x14ac:dyDescent="0.25">
      <c r="A79" s="4"/>
      <c r="B79" s="31"/>
      <c r="C79" s="31"/>
      <c r="D79" s="31"/>
      <c r="K79" s="6"/>
      <c r="L79" s="4"/>
      <c r="M79" s="4"/>
      <c r="N79" s="31"/>
      <c r="O79" s="31"/>
    </row>
    <row r="80" spans="1:15" s="115" customFormat="1" x14ac:dyDescent="0.25">
      <c r="A80" s="4"/>
      <c r="B80" s="31"/>
      <c r="C80" s="31"/>
      <c r="D80" s="31"/>
      <c r="K80" s="6"/>
      <c r="L80" s="4"/>
      <c r="M80" s="4"/>
      <c r="N80" s="31"/>
      <c r="O80" s="31"/>
    </row>
    <row r="81" spans="1:15" s="115" customFormat="1" x14ac:dyDescent="0.25">
      <c r="A81" s="4"/>
      <c r="B81" s="31"/>
      <c r="C81" s="31"/>
      <c r="D81" s="31"/>
      <c r="K81" s="6"/>
      <c r="L81" s="4"/>
      <c r="M81" s="4"/>
      <c r="N81" s="31"/>
      <c r="O81" s="31"/>
    </row>
    <row r="82" spans="1:15" s="115" customFormat="1" x14ac:dyDescent="0.25">
      <c r="A82" s="4"/>
      <c r="B82" s="31"/>
      <c r="C82" s="31"/>
      <c r="D82" s="31"/>
      <c r="K82" s="6"/>
      <c r="L82" s="4"/>
      <c r="M82" s="4"/>
      <c r="N82" s="31"/>
      <c r="O82" s="31"/>
    </row>
    <row r="83" spans="1:15" s="115" customFormat="1" x14ac:dyDescent="0.25">
      <c r="A83" s="4"/>
      <c r="B83" s="31"/>
      <c r="C83" s="31"/>
      <c r="D83" s="31"/>
      <c r="K83" s="6"/>
      <c r="L83" s="4"/>
      <c r="M83" s="4"/>
      <c r="N83" s="31"/>
      <c r="O83" s="31"/>
    </row>
    <row r="84" spans="1:15" s="115" customFormat="1" x14ac:dyDescent="0.25">
      <c r="A84" s="4"/>
      <c r="B84" s="31"/>
      <c r="C84" s="31"/>
      <c r="D84" s="31"/>
      <c r="K84" s="6"/>
      <c r="L84" s="4"/>
      <c r="M84" s="4"/>
      <c r="N84" s="31"/>
      <c r="O84" s="31"/>
    </row>
    <row r="85" spans="1:15" s="115" customFormat="1" x14ac:dyDescent="0.25">
      <c r="A85" s="4"/>
      <c r="B85" s="31"/>
      <c r="C85" s="31"/>
      <c r="D85" s="31"/>
      <c r="K85" s="6"/>
      <c r="L85" s="4"/>
      <c r="M85" s="4"/>
      <c r="N85" s="31"/>
      <c r="O85" s="31"/>
    </row>
    <row r="86" spans="1:15" s="115" customFormat="1" x14ac:dyDescent="0.25">
      <c r="A86" s="4"/>
      <c r="B86" s="31"/>
      <c r="C86" s="31"/>
      <c r="D86" s="31"/>
      <c r="K86" s="6"/>
      <c r="L86" s="4"/>
      <c r="M86" s="4"/>
      <c r="N86" s="31"/>
      <c r="O86" s="31"/>
    </row>
    <row r="87" spans="1:15" s="115" customFormat="1" x14ac:dyDescent="0.25">
      <c r="A87" s="4"/>
      <c r="B87" s="31"/>
      <c r="C87" s="31"/>
      <c r="D87" s="31"/>
      <c r="K87" s="6"/>
      <c r="L87" s="4"/>
      <c r="M87" s="4"/>
      <c r="N87" s="31"/>
      <c r="O87" s="31"/>
    </row>
    <row r="88" spans="1:15" s="115" customFormat="1" x14ac:dyDescent="0.25">
      <c r="A88" s="4"/>
      <c r="B88" s="31"/>
      <c r="C88" s="31"/>
      <c r="D88" s="31"/>
      <c r="K88" s="6"/>
      <c r="L88" s="4"/>
      <c r="M88" s="4"/>
      <c r="N88" s="31"/>
      <c r="O88" s="31"/>
    </row>
    <row r="89" spans="1:15" s="115" customFormat="1" x14ac:dyDescent="0.25">
      <c r="A89" s="4"/>
      <c r="B89" s="31"/>
      <c r="C89" s="31"/>
      <c r="D89" s="31"/>
      <c r="K89" s="6"/>
      <c r="L89" s="4"/>
      <c r="M89" s="4"/>
      <c r="N89" s="31"/>
      <c r="O89" s="31"/>
    </row>
    <row r="90" spans="1:15" s="115" customFormat="1" x14ac:dyDescent="0.25">
      <c r="A90" s="4"/>
      <c r="B90" s="31"/>
      <c r="C90" s="31"/>
      <c r="D90" s="31"/>
      <c r="K90" s="6"/>
      <c r="L90" s="4"/>
      <c r="M90" s="4"/>
      <c r="N90" s="31"/>
      <c r="O90" s="31"/>
    </row>
    <row r="91" spans="1:15" s="115" customFormat="1" x14ac:dyDescent="0.25">
      <c r="A91" s="4"/>
      <c r="B91" s="31"/>
      <c r="C91" s="31"/>
      <c r="D91" s="31"/>
      <c r="K91" s="6"/>
      <c r="L91" s="4"/>
      <c r="M91" s="4"/>
      <c r="N91" s="31"/>
      <c r="O91" s="31"/>
    </row>
    <row r="92" spans="1:15" s="115" customFormat="1" x14ac:dyDescent="0.25">
      <c r="A92" s="4"/>
      <c r="B92" s="31"/>
      <c r="C92" s="31"/>
      <c r="D92" s="31"/>
      <c r="K92" s="6"/>
      <c r="L92" s="4"/>
      <c r="M92" s="4"/>
      <c r="N92" s="31"/>
      <c r="O92" s="31"/>
    </row>
    <row r="93" spans="1:15" s="115" customFormat="1" x14ac:dyDescent="0.25">
      <c r="A93" s="4"/>
      <c r="B93" s="31"/>
      <c r="C93" s="31"/>
      <c r="D93" s="31"/>
      <c r="K93" s="6"/>
      <c r="L93" s="4"/>
      <c r="M93" s="4"/>
      <c r="N93" s="31"/>
      <c r="O93" s="31"/>
    </row>
    <row r="94" spans="1:15" s="115" customFormat="1" x14ac:dyDescent="0.25">
      <c r="A94" s="4"/>
      <c r="B94" s="31"/>
      <c r="C94" s="31"/>
      <c r="D94" s="31"/>
      <c r="K94" s="6"/>
      <c r="L94" s="4"/>
      <c r="M94" s="4"/>
      <c r="N94" s="31"/>
      <c r="O94" s="31"/>
    </row>
    <row r="95" spans="1:15" s="115" customFormat="1" x14ac:dyDescent="0.25">
      <c r="A95" s="4"/>
      <c r="B95" s="31"/>
      <c r="C95" s="31"/>
      <c r="D95" s="31"/>
      <c r="K95" s="6"/>
      <c r="L95" s="4"/>
      <c r="M95" s="4"/>
      <c r="N95" s="31"/>
      <c r="O95" s="31"/>
    </row>
    <row r="96" spans="1:15" s="115" customFormat="1" x14ac:dyDescent="0.25">
      <c r="A96" s="4"/>
      <c r="B96" s="31"/>
      <c r="C96" s="31"/>
      <c r="D96" s="31"/>
      <c r="K96" s="6"/>
      <c r="L96" s="4"/>
      <c r="M96" s="4"/>
      <c r="N96" s="31"/>
      <c r="O96" s="31"/>
    </row>
    <row r="97" spans="1:15" s="115" customFormat="1" x14ac:dyDescent="0.25">
      <c r="A97" s="4"/>
      <c r="B97" s="31"/>
      <c r="C97" s="31"/>
      <c r="D97" s="31"/>
      <c r="K97" s="6"/>
      <c r="L97" s="4"/>
      <c r="M97" s="4"/>
      <c r="N97" s="31"/>
      <c r="O97" s="31"/>
    </row>
    <row r="98" spans="1:15" s="115" customFormat="1" x14ac:dyDescent="0.25">
      <c r="A98" s="4"/>
      <c r="B98" s="31"/>
      <c r="C98" s="31"/>
      <c r="D98" s="31"/>
      <c r="K98" s="6"/>
      <c r="L98" s="4"/>
      <c r="M98" s="4"/>
      <c r="N98" s="31"/>
      <c r="O98" s="31"/>
    </row>
    <row r="99" spans="1:15" s="115" customFormat="1" x14ac:dyDescent="0.25">
      <c r="A99" s="4"/>
      <c r="B99" s="31"/>
      <c r="C99" s="31"/>
      <c r="D99" s="31"/>
      <c r="K99" s="6"/>
      <c r="L99" s="4"/>
      <c r="M99" s="4"/>
      <c r="N99" s="31"/>
      <c r="O99" s="31"/>
    </row>
    <row r="100" spans="1:15" s="115" customFormat="1" x14ac:dyDescent="0.25">
      <c r="A100" s="4"/>
      <c r="B100" s="31"/>
      <c r="C100" s="31"/>
      <c r="D100" s="31"/>
      <c r="K100" s="6"/>
      <c r="L100" s="4"/>
      <c r="M100" s="4"/>
      <c r="N100" s="31"/>
      <c r="O100" s="31"/>
    </row>
    <row r="101" spans="1:15" s="115" customFormat="1" x14ac:dyDescent="0.25">
      <c r="A101" s="4"/>
      <c r="B101" s="31"/>
      <c r="C101" s="31"/>
      <c r="D101" s="31"/>
      <c r="K101" s="6"/>
      <c r="L101" s="4"/>
      <c r="M101" s="4"/>
      <c r="N101" s="31"/>
      <c r="O101" s="31"/>
    </row>
    <row r="102" spans="1:15" s="115" customFormat="1" x14ac:dyDescent="0.25">
      <c r="A102" s="4"/>
      <c r="B102" s="31"/>
      <c r="C102" s="31"/>
      <c r="D102" s="31"/>
      <c r="K102" s="6"/>
      <c r="L102" s="4"/>
      <c r="M102" s="4"/>
      <c r="N102" s="31"/>
      <c r="O102" s="31"/>
    </row>
    <row r="103" spans="1:15" s="115" customFormat="1" x14ac:dyDescent="0.25">
      <c r="A103" s="4"/>
      <c r="B103" s="31"/>
      <c r="C103" s="31"/>
      <c r="D103" s="31"/>
      <c r="K103" s="6"/>
      <c r="L103" s="4"/>
      <c r="M103" s="4"/>
      <c r="N103" s="31"/>
      <c r="O103" s="31"/>
    </row>
    <row r="104" spans="1:15" s="115" customFormat="1" x14ac:dyDescent="0.25">
      <c r="A104" s="4"/>
      <c r="B104" s="31"/>
      <c r="C104" s="31"/>
      <c r="D104" s="31"/>
      <c r="K104" s="6"/>
      <c r="L104" s="4"/>
      <c r="M104" s="4"/>
      <c r="N104" s="31"/>
      <c r="O104" s="31"/>
    </row>
    <row r="105" spans="1:15" s="115" customFormat="1" x14ac:dyDescent="0.25">
      <c r="A105" s="4"/>
      <c r="B105" s="31"/>
      <c r="C105" s="31"/>
      <c r="D105" s="31"/>
      <c r="K105" s="6"/>
      <c r="L105" s="4"/>
      <c r="M105" s="4"/>
      <c r="N105" s="31"/>
      <c r="O105" s="31"/>
    </row>
    <row r="106" spans="1:15" s="115" customFormat="1" x14ac:dyDescent="0.25">
      <c r="A106" s="4"/>
      <c r="B106" s="31"/>
      <c r="C106" s="31"/>
      <c r="D106" s="31"/>
      <c r="K106" s="6"/>
      <c r="L106" s="4"/>
      <c r="M106" s="4"/>
      <c r="N106" s="31"/>
      <c r="O106" s="31"/>
    </row>
    <row r="107" spans="1:15" s="115" customFormat="1" x14ac:dyDescent="0.25">
      <c r="A107" s="4"/>
      <c r="B107" s="31"/>
      <c r="C107" s="31"/>
      <c r="D107" s="31"/>
      <c r="K107" s="6"/>
      <c r="L107" s="4"/>
      <c r="M107" s="4"/>
      <c r="N107" s="31"/>
      <c r="O107" s="31"/>
    </row>
    <row r="108" spans="1:15" s="115" customFormat="1" x14ac:dyDescent="0.25">
      <c r="A108" s="4"/>
      <c r="B108" s="31"/>
      <c r="C108" s="31"/>
      <c r="D108" s="31"/>
      <c r="K108" s="6"/>
      <c r="L108" s="4"/>
      <c r="M108" s="4"/>
      <c r="N108" s="31"/>
      <c r="O108" s="31"/>
    </row>
    <row r="109" spans="1:15" s="115" customFormat="1" x14ac:dyDescent="0.25">
      <c r="A109" s="4"/>
      <c r="B109" s="31"/>
      <c r="C109" s="31"/>
      <c r="D109" s="31"/>
      <c r="K109" s="6"/>
      <c r="L109" s="4"/>
      <c r="M109" s="4"/>
      <c r="N109" s="31"/>
      <c r="O109" s="31"/>
    </row>
    <row r="110" spans="1:15" s="115" customFormat="1" x14ac:dyDescent="0.25">
      <c r="A110" s="4"/>
      <c r="B110" s="31"/>
      <c r="C110" s="31"/>
      <c r="D110" s="31"/>
      <c r="K110" s="6"/>
      <c r="L110" s="4"/>
      <c r="M110" s="4"/>
      <c r="N110" s="31"/>
      <c r="O110" s="31"/>
    </row>
    <row r="111" spans="1:15" s="115" customFormat="1" x14ac:dyDescent="0.25">
      <c r="A111" s="4"/>
      <c r="B111" s="31"/>
      <c r="C111" s="31"/>
      <c r="D111" s="31"/>
      <c r="K111" s="6"/>
      <c r="L111" s="4"/>
      <c r="M111" s="4"/>
      <c r="N111" s="31"/>
      <c r="O111" s="31"/>
    </row>
    <row r="112" spans="1:15" s="115" customFormat="1" x14ac:dyDescent="0.25">
      <c r="A112" s="4"/>
      <c r="B112" s="31"/>
      <c r="C112" s="31"/>
      <c r="D112" s="31"/>
      <c r="K112" s="6"/>
      <c r="L112" s="4"/>
      <c r="M112" s="4"/>
      <c r="N112" s="31"/>
      <c r="O112" s="31"/>
    </row>
    <row r="113" spans="1:15" s="115" customFormat="1" x14ac:dyDescent="0.25">
      <c r="A113" s="4"/>
      <c r="B113" s="31"/>
      <c r="C113" s="31"/>
      <c r="D113" s="31"/>
      <c r="K113" s="6"/>
      <c r="L113" s="4"/>
      <c r="M113" s="4"/>
      <c r="N113" s="31"/>
      <c r="O113" s="31"/>
    </row>
    <row r="114" spans="1:15" s="115" customFormat="1" x14ac:dyDescent="0.25">
      <c r="A114" s="4"/>
      <c r="B114" s="31"/>
      <c r="C114" s="31"/>
      <c r="D114" s="31"/>
      <c r="K114" s="6"/>
      <c r="L114" s="4"/>
      <c r="M114" s="4"/>
      <c r="N114" s="31"/>
      <c r="O114" s="31"/>
    </row>
    <row r="115" spans="1:15" s="115" customFormat="1" x14ac:dyDescent="0.25">
      <c r="A115" s="4"/>
      <c r="B115" s="31"/>
      <c r="C115" s="31"/>
      <c r="D115" s="31"/>
      <c r="K115" s="6"/>
      <c r="L115" s="4"/>
      <c r="M115" s="4"/>
      <c r="N115" s="31"/>
      <c r="O115" s="31"/>
    </row>
    <row r="116" spans="1:15" s="115" customFormat="1" x14ac:dyDescent="0.25">
      <c r="A116" s="4"/>
      <c r="B116" s="31"/>
      <c r="C116" s="31"/>
      <c r="D116" s="31"/>
      <c r="K116" s="6"/>
      <c r="L116" s="4"/>
      <c r="M116" s="4"/>
      <c r="N116" s="31"/>
      <c r="O116" s="31"/>
    </row>
    <row r="117" spans="1:15" s="115" customFormat="1" x14ac:dyDescent="0.25">
      <c r="A117" s="4"/>
      <c r="B117" s="31"/>
      <c r="C117" s="31"/>
      <c r="D117" s="31"/>
      <c r="K117" s="6"/>
      <c r="L117" s="4"/>
      <c r="M117" s="4"/>
      <c r="N117" s="31"/>
      <c r="O117" s="31"/>
    </row>
    <row r="118" spans="1:15" s="115" customFormat="1" x14ac:dyDescent="0.25">
      <c r="A118" s="4"/>
      <c r="B118" s="31"/>
      <c r="C118" s="31"/>
      <c r="D118" s="31"/>
      <c r="K118" s="6"/>
      <c r="L118" s="4"/>
      <c r="M118" s="4"/>
      <c r="N118" s="31"/>
      <c r="O118" s="31"/>
    </row>
    <row r="119" spans="1:15" s="115" customFormat="1" x14ac:dyDescent="0.25">
      <c r="A119" s="4"/>
      <c r="B119" s="31"/>
      <c r="C119" s="31"/>
      <c r="D119" s="31"/>
      <c r="K119" s="6"/>
      <c r="L119" s="4"/>
      <c r="M119" s="4"/>
      <c r="N119" s="31"/>
      <c r="O119" s="31"/>
    </row>
    <row r="120" spans="1:15" s="115" customFormat="1" x14ac:dyDescent="0.25">
      <c r="A120" s="4"/>
      <c r="B120" s="31"/>
      <c r="C120" s="31"/>
      <c r="D120" s="31"/>
      <c r="K120" s="6"/>
      <c r="L120" s="4"/>
      <c r="M120" s="4"/>
      <c r="N120" s="31"/>
      <c r="O120" s="31"/>
    </row>
    <row r="121" spans="1:15" s="115" customFormat="1" x14ac:dyDescent="0.25">
      <c r="A121" s="4"/>
      <c r="B121" s="31"/>
      <c r="C121" s="31"/>
      <c r="D121" s="31"/>
      <c r="K121" s="6"/>
      <c r="L121" s="4"/>
      <c r="M121" s="4"/>
      <c r="N121" s="31"/>
      <c r="O121" s="31"/>
    </row>
    <row r="122" spans="1:15" s="115" customFormat="1" x14ac:dyDescent="0.25">
      <c r="A122" s="4"/>
      <c r="B122" s="31"/>
      <c r="C122" s="31"/>
      <c r="D122" s="31"/>
      <c r="K122" s="6"/>
      <c r="L122" s="4"/>
      <c r="M122" s="4"/>
      <c r="N122" s="31"/>
      <c r="O122" s="31"/>
    </row>
    <row r="123" spans="1:15" s="115" customFormat="1" x14ac:dyDescent="0.25">
      <c r="A123" s="4"/>
      <c r="B123" s="31"/>
      <c r="C123" s="31"/>
      <c r="D123" s="31"/>
      <c r="K123" s="6"/>
      <c r="L123" s="4"/>
      <c r="M123" s="4"/>
      <c r="N123" s="31"/>
      <c r="O123" s="31"/>
    </row>
    <row r="124" spans="1:15" s="115" customFormat="1" x14ac:dyDescent="0.25">
      <c r="A124" s="4"/>
      <c r="B124" s="31"/>
      <c r="C124" s="31"/>
      <c r="D124" s="31"/>
      <c r="K124" s="6"/>
      <c r="L124" s="4"/>
      <c r="M124" s="4"/>
      <c r="N124" s="31"/>
      <c r="O124" s="31"/>
    </row>
    <row r="125" spans="1:15" s="115" customFormat="1" x14ac:dyDescent="0.25">
      <c r="A125" s="4"/>
      <c r="B125" s="31"/>
      <c r="C125" s="31"/>
      <c r="D125" s="31"/>
      <c r="K125" s="6"/>
      <c r="L125" s="4"/>
      <c r="M125" s="4"/>
      <c r="N125" s="31"/>
      <c r="O125" s="31"/>
    </row>
    <row r="126" spans="1:15" s="115" customFormat="1" x14ac:dyDescent="0.25">
      <c r="A126" s="4"/>
      <c r="B126" s="31"/>
      <c r="C126" s="31"/>
      <c r="D126" s="31"/>
      <c r="K126" s="6"/>
      <c r="L126" s="4"/>
      <c r="M126" s="4"/>
      <c r="N126" s="31"/>
      <c r="O126" s="31"/>
    </row>
    <row r="127" spans="1:15" s="115" customFormat="1" x14ac:dyDescent="0.25">
      <c r="A127" s="4"/>
      <c r="B127" s="31"/>
      <c r="C127" s="31"/>
      <c r="D127" s="31"/>
      <c r="K127" s="6"/>
      <c r="L127" s="4"/>
      <c r="M127" s="4"/>
      <c r="N127" s="31"/>
      <c r="O127" s="31"/>
    </row>
    <row r="128" spans="1:15" s="115" customFormat="1" x14ac:dyDescent="0.25">
      <c r="A128" s="4"/>
      <c r="B128" s="31"/>
      <c r="C128" s="31"/>
      <c r="D128" s="31"/>
      <c r="K128" s="6"/>
      <c r="L128" s="4"/>
      <c r="M128" s="4"/>
      <c r="N128" s="31"/>
      <c r="O128" s="31"/>
    </row>
    <row r="129" spans="1:15" s="115" customFormat="1" x14ac:dyDescent="0.25">
      <c r="A129" s="4"/>
      <c r="B129" s="31"/>
      <c r="C129" s="31"/>
      <c r="D129" s="31"/>
      <c r="K129" s="6"/>
      <c r="L129" s="4"/>
      <c r="M129" s="4"/>
      <c r="N129" s="31"/>
      <c r="O129" s="31"/>
    </row>
    <row r="130" spans="1:15" s="115" customFormat="1" x14ac:dyDescent="0.25">
      <c r="A130" s="4"/>
      <c r="B130" s="31"/>
      <c r="C130" s="31"/>
      <c r="D130" s="31"/>
      <c r="K130" s="6"/>
      <c r="L130" s="4"/>
      <c r="M130" s="4"/>
      <c r="N130" s="31"/>
      <c r="O130" s="31"/>
    </row>
    <row r="131" spans="1:15" s="115" customFormat="1" x14ac:dyDescent="0.25">
      <c r="A131" s="4"/>
      <c r="B131" s="31"/>
      <c r="C131" s="31"/>
      <c r="D131" s="31"/>
      <c r="K131" s="6"/>
      <c r="L131" s="4"/>
      <c r="M131" s="4"/>
      <c r="N131" s="31"/>
      <c r="O131" s="31"/>
    </row>
    <row r="132" spans="1:15" s="115" customFormat="1" x14ac:dyDescent="0.25">
      <c r="A132" s="4"/>
      <c r="B132" s="31"/>
      <c r="C132" s="31"/>
      <c r="D132" s="31"/>
      <c r="K132" s="6"/>
      <c r="L132" s="4"/>
      <c r="M132" s="4"/>
      <c r="N132" s="31"/>
      <c r="O132" s="31"/>
    </row>
    <row r="133" spans="1:15" s="115" customFormat="1" x14ac:dyDescent="0.25">
      <c r="A133" s="4"/>
      <c r="B133" s="31"/>
      <c r="C133" s="31"/>
      <c r="D133" s="31"/>
      <c r="K133" s="6"/>
      <c r="L133" s="4"/>
      <c r="M133" s="4"/>
      <c r="N133" s="31"/>
      <c r="O133" s="31"/>
    </row>
    <row r="134" spans="1:15" s="115" customFormat="1" x14ac:dyDescent="0.25">
      <c r="A134" s="4"/>
      <c r="B134" s="31"/>
      <c r="C134" s="31"/>
      <c r="D134" s="31"/>
      <c r="K134" s="6"/>
      <c r="L134" s="4"/>
      <c r="M134" s="4"/>
      <c r="N134" s="31"/>
      <c r="O134" s="31"/>
    </row>
    <row r="135" spans="1:15" s="115" customFormat="1" x14ac:dyDescent="0.25">
      <c r="A135" s="4"/>
      <c r="B135" s="31"/>
      <c r="C135" s="31"/>
      <c r="D135" s="31"/>
      <c r="K135" s="6"/>
      <c r="L135" s="4"/>
      <c r="M135" s="4"/>
      <c r="N135" s="31"/>
      <c r="O135" s="31"/>
    </row>
    <row r="136" spans="1:15" s="115" customFormat="1" x14ac:dyDescent="0.25">
      <c r="A136" s="4"/>
      <c r="B136" s="31"/>
      <c r="C136" s="31"/>
      <c r="D136" s="31"/>
      <c r="K136" s="6"/>
      <c r="L136" s="4"/>
      <c r="M136" s="4"/>
      <c r="N136" s="31"/>
      <c r="O136" s="31"/>
    </row>
    <row r="137" spans="1:15" s="115" customFormat="1" x14ac:dyDescent="0.25">
      <c r="A137" s="4"/>
      <c r="B137" s="31"/>
      <c r="C137" s="31"/>
      <c r="D137" s="31"/>
      <c r="K137" s="6"/>
      <c r="L137" s="4"/>
      <c r="M137" s="4"/>
      <c r="N137" s="31"/>
      <c r="O137" s="31"/>
    </row>
    <row r="138" spans="1:15" s="115" customFormat="1" x14ac:dyDescent="0.25">
      <c r="A138" s="4"/>
      <c r="B138" s="31"/>
      <c r="C138" s="31"/>
      <c r="D138" s="31"/>
      <c r="K138" s="6"/>
      <c r="L138" s="4"/>
      <c r="M138" s="4"/>
      <c r="N138" s="31"/>
      <c r="O138" s="31"/>
    </row>
    <row r="139" spans="1:15" s="115" customFormat="1" x14ac:dyDescent="0.25">
      <c r="A139" s="4"/>
      <c r="B139" s="31"/>
      <c r="C139" s="31"/>
      <c r="D139" s="31"/>
      <c r="K139" s="6"/>
      <c r="L139" s="4"/>
      <c r="M139" s="4"/>
      <c r="N139" s="31"/>
      <c r="O139" s="31"/>
    </row>
    <row r="140" spans="1:15" s="115" customFormat="1" x14ac:dyDescent="0.25">
      <c r="A140" s="4"/>
      <c r="B140" s="31"/>
      <c r="C140" s="31"/>
      <c r="D140" s="31"/>
      <c r="K140" s="6"/>
      <c r="L140" s="4"/>
      <c r="M140" s="4"/>
      <c r="N140" s="31"/>
      <c r="O140" s="31"/>
    </row>
    <row r="141" spans="1:15" s="115" customFormat="1" x14ac:dyDescent="0.25">
      <c r="A141" s="4"/>
      <c r="B141" s="31"/>
      <c r="C141" s="31"/>
      <c r="D141" s="31"/>
      <c r="K141" s="6"/>
      <c r="L141" s="4"/>
      <c r="M141" s="4"/>
      <c r="N141" s="31"/>
      <c r="O141" s="31"/>
    </row>
    <row r="142" spans="1:15" s="115" customFormat="1" x14ac:dyDescent="0.25">
      <c r="A142" s="4"/>
      <c r="B142" s="31"/>
      <c r="C142" s="31"/>
      <c r="D142" s="31"/>
      <c r="K142" s="6"/>
      <c r="L142" s="4"/>
      <c r="M142" s="4"/>
      <c r="N142" s="31"/>
      <c r="O142" s="31"/>
    </row>
    <row r="143" spans="1:15" s="115" customFormat="1" x14ac:dyDescent="0.25">
      <c r="A143" s="4"/>
      <c r="B143" s="31"/>
      <c r="C143" s="31"/>
      <c r="D143" s="31"/>
      <c r="K143" s="6"/>
      <c r="L143" s="4"/>
      <c r="M143" s="4"/>
      <c r="N143" s="31"/>
      <c r="O143" s="31"/>
    </row>
    <row r="144" spans="1:15" s="115" customFormat="1" x14ac:dyDescent="0.25">
      <c r="A144" s="4"/>
      <c r="B144" s="31"/>
      <c r="C144" s="31"/>
      <c r="D144" s="31"/>
      <c r="K144" s="6"/>
      <c r="L144" s="4"/>
      <c r="M144" s="4"/>
      <c r="N144" s="31"/>
      <c r="O144" s="31"/>
    </row>
    <row r="145" spans="1:15" s="115" customFormat="1" x14ac:dyDescent="0.25">
      <c r="A145" s="4"/>
      <c r="B145" s="31"/>
      <c r="C145" s="31"/>
      <c r="D145" s="31"/>
      <c r="K145" s="6"/>
      <c r="L145" s="4"/>
      <c r="M145" s="4"/>
      <c r="N145" s="31"/>
      <c r="O145" s="31"/>
    </row>
    <row r="146" spans="1:15" s="115" customFormat="1" x14ac:dyDescent="0.25">
      <c r="A146" s="4"/>
      <c r="B146" s="31"/>
      <c r="C146" s="31"/>
      <c r="D146" s="31"/>
      <c r="K146" s="6"/>
      <c r="L146" s="4"/>
      <c r="M146" s="4"/>
      <c r="N146" s="31"/>
      <c r="O146" s="31"/>
    </row>
    <row r="147" spans="1:15" s="115" customFormat="1" x14ac:dyDescent="0.25">
      <c r="A147" s="4"/>
      <c r="B147" s="31"/>
      <c r="C147" s="31"/>
      <c r="D147" s="31"/>
      <c r="K147" s="6"/>
      <c r="L147" s="4"/>
      <c r="M147" s="4"/>
      <c r="N147" s="31"/>
      <c r="O147" s="31"/>
    </row>
    <row r="148" spans="1:15" s="115" customFormat="1" x14ac:dyDescent="0.25">
      <c r="A148" s="4"/>
      <c r="B148" s="31"/>
      <c r="C148" s="31"/>
      <c r="D148" s="31"/>
      <c r="K148" s="6"/>
      <c r="L148" s="4"/>
      <c r="M148" s="4"/>
      <c r="N148" s="31"/>
      <c r="O148" s="31"/>
    </row>
    <row r="149" spans="1:15" s="115" customFormat="1" x14ac:dyDescent="0.25">
      <c r="A149" s="4"/>
      <c r="B149" s="31"/>
      <c r="C149" s="31"/>
      <c r="D149" s="31"/>
      <c r="K149" s="6"/>
      <c r="L149" s="4"/>
      <c r="M149" s="4"/>
      <c r="N149" s="31"/>
      <c r="O149" s="31"/>
    </row>
    <row r="150" spans="1:15" s="115" customFormat="1" x14ac:dyDescent="0.25">
      <c r="A150" s="4"/>
      <c r="B150" s="31"/>
      <c r="C150" s="31"/>
      <c r="D150" s="31"/>
      <c r="K150" s="6"/>
      <c r="L150" s="4"/>
      <c r="M150" s="4"/>
      <c r="N150" s="31"/>
      <c r="O150" s="31"/>
    </row>
    <row r="151" spans="1:15" s="115" customFormat="1" x14ac:dyDescent="0.25">
      <c r="A151" s="4"/>
      <c r="B151" s="31"/>
      <c r="C151" s="31"/>
      <c r="D151" s="31"/>
      <c r="K151" s="6"/>
      <c r="L151" s="4"/>
      <c r="M151" s="4"/>
      <c r="N151" s="31"/>
      <c r="O151" s="31"/>
    </row>
    <row r="152" spans="1:15" s="115" customFormat="1" x14ac:dyDescent="0.25">
      <c r="A152" s="4"/>
      <c r="B152" s="31"/>
      <c r="C152" s="31"/>
      <c r="D152" s="31"/>
      <c r="K152" s="6"/>
      <c r="L152" s="4"/>
      <c r="M152" s="4"/>
      <c r="N152" s="31"/>
      <c r="O152" s="31"/>
    </row>
    <row r="153" spans="1:15" s="115" customFormat="1" x14ac:dyDescent="0.25">
      <c r="A153" s="4"/>
      <c r="B153" s="31"/>
      <c r="C153" s="31"/>
      <c r="D153" s="31"/>
      <c r="K153" s="6"/>
      <c r="L153" s="4"/>
      <c r="M153" s="4"/>
      <c r="N153" s="31"/>
      <c r="O153" s="31"/>
    </row>
    <row r="154" spans="1:15" s="115" customFormat="1" x14ac:dyDescent="0.25">
      <c r="A154" s="4"/>
      <c r="B154" s="31"/>
      <c r="C154" s="31"/>
      <c r="D154" s="31"/>
      <c r="K154" s="6"/>
      <c r="L154" s="4"/>
      <c r="M154" s="4"/>
      <c r="N154" s="31"/>
      <c r="O154" s="31"/>
    </row>
    <row r="155" spans="1:15" s="115" customFormat="1" x14ac:dyDescent="0.25">
      <c r="A155" s="4"/>
      <c r="B155" s="31"/>
      <c r="C155" s="31"/>
      <c r="D155" s="31"/>
      <c r="K155" s="6"/>
      <c r="L155" s="4"/>
      <c r="M155" s="4"/>
      <c r="N155" s="31"/>
      <c r="O155" s="31"/>
    </row>
    <row r="156" spans="1:15" s="115" customFormat="1" x14ac:dyDescent="0.25">
      <c r="A156" s="4"/>
      <c r="B156" s="31"/>
      <c r="C156" s="31"/>
      <c r="D156" s="31"/>
      <c r="K156" s="6"/>
      <c r="L156" s="4"/>
      <c r="M156" s="4"/>
      <c r="N156" s="31"/>
      <c r="O156" s="31"/>
    </row>
    <row r="157" spans="1:15" s="115" customFormat="1" x14ac:dyDescent="0.25">
      <c r="A157" s="4"/>
      <c r="B157" s="31"/>
      <c r="C157" s="31"/>
      <c r="D157" s="31"/>
      <c r="K157" s="6"/>
      <c r="L157" s="4"/>
      <c r="M157" s="4"/>
      <c r="N157" s="31"/>
      <c r="O157" s="31"/>
    </row>
    <row r="158" spans="1:15" s="115" customFormat="1" x14ac:dyDescent="0.25">
      <c r="A158" s="4"/>
      <c r="B158" s="31"/>
      <c r="C158" s="31"/>
      <c r="D158" s="31"/>
      <c r="K158" s="6"/>
      <c r="L158" s="4"/>
      <c r="M158" s="4"/>
      <c r="N158" s="31"/>
      <c r="O158" s="31"/>
    </row>
    <row r="159" spans="1:15" s="115" customFormat="1" x14ac:dyDescent="0.25">
      <c r="A159" s="4"/>
      <c r="B159" s="31"/>
      <c r="C159" s="31"/>
      <c r="D159" s="31"/>
      <c r="K159" s="6"/>
      <c r="L159" s="4"/>
      <c r="M159" s="4"/>
      <c r="N159" s="31"/>
      <c r="O159" s="31"/>
    </row>
    <row r="160" spans="1:15" s="115" customFormat="1" x14ac:dyDescent="0.25">
      <c r="A160" s="4"/>
      <c r="B160" s="31"/>
      <c r="C160" s="31"/>
      <c r="D160" s="31"/>
      <c r="K160" s="6"/>
      <c r="L160" s="4"/>
      <c r="M160" s="4"/>
      <c r="N160" s="31"/>
      <c r="O160" s="31"/>
    </row>
    <row r="161" spans="1:15" s="115" customFormat="1" x14ac:dyDescent="0.25">
      <c r="A161" s="4"/>
      <c r="B161" s="31"/>
      <c r="C161" s="31"/>
      <c r="D161" s="31"/>
      <c r="K161" s="6"/>
      <c r="L161" s="4"/>
      <c r="M161" s="4"/>
      <c r="N161" s="31"/>
      <c r="O161" s="31"/>
    </row>
    <row r="162" spans="1:15" s="115" customFormat="1" x14ac:dyDescent="0.25">
      <c r="A162" s="4"/>
      <c r="B162" s="31"/>
      <c r="C162" s="31"/>
      <c r="D162" s="31"/>
      <c r="K162" s="6"/>
      <c r="L162" s="4"/>
      <c r="M162" s="4"/>
      <c r="N162" s="31"/>
      <c r="O162" s="31"/>
    </row>
    <row r="163" spans="1:15" s="115" customFormat="1" x14ac:dyDescent="0.25">
      <c r="A163" s="4"/>
      <c r="B163" s="31"/>
      <c r="C163" s="31"/>
      <c r="D163" s="31"/>
      <c r="K163" s="6"/>
      <c r="L163" s="4"/>
      <c r="M163" s="4"/>
      <c r="N163" s="31"/>
      <c r="O163" s="31"/>
    </row>
    <row r="164" spans="1:15" s="115" customFormat="1" x14ac:dyDescent="0.25">
      <c r="A164" s="4"/>
      <c r="B164" s="31"/>
      <c r="C164" s="31"/>
      <c r="D164" s="31"/>
      <c r="K164" s="6"/>
      <c r="L164" s="4"/>
      <c r="M164" s="4"/>
      <c r="N164" s="31"/>
      <c r="O164" s="31"/>
    </row>
    <row r="165" spans="1:15" s="115" customFormat="1" x14ac:dyDescent="0.25">
      <c r="A165" s="4"/>
      <c r="B165" s="31"/>
      <c r="C165" s="31"/>
      <c r="D165" s="31"/>
      <c r="K165" s="6"/>
      <c r="L165" s="4"/>
      <c r="M165" s="4"/>
      <c r="N165" s="31"/>
      <c r="O165" s="31"/>
    </row>
    <row r="166" spans="1:15" s="115" customFormat="1" x14ac:dyDescent="0.25">
      <c r="A166" s="4"/>
      <c r="B166" s="31"/>
      <c r="C166" s="31"/>
      <c r="D166" s="31"/>
      <c r="K166" s="6"/>
      <c r="L166" s="4"/>
      <c r="M166" s="4"/>
      <c r="N166" s="31"/>
      <c r="O166" s="31"/>
    </row>
    <row r="167" spans="1:15" s="115" customFormat="1" x14ac:dyDescent="0.25">
      <c r="A167" s="4"/>
      <c r="B167" s="31"/>
      <c r="C167" s="31"/>
      <c r="D167" s="31"/>
      <c r="K167" s="6"/>
      <c r="L167" s="4"/>
      <c r="M167" s="4"/>
      <c r="N167" s="31"/>
      <c r="O167" s="31"/>
    </row>
    <row r="168" spans="1:15" s="115" customFormat="1" x14ac:dyDescent="0.25">
      <c r="A168" s="4"/>
      <c r="B168" s="31"/>
      <c r="C168" s="31"/>
      <c r="D168" s="31"/>
      <c r="K168" s="6"/>
      <c r="L168" s="4"/>
      <c r="M168" s="4"/>
      <c r="N168" s="31"/>
      <c r="O168" s="31"/>
    </row>
    <row r="169" spans="1:15" s="115" customFormat="1" x14ac:dyDescent="0.25">
      <c r="A169" s="4"/>
      <c r="B169" s="31"/>
      <c r="C169" s="31"/>
      <c r="D169" s="31"/>
      <c r="K169" s="6"/>
      <c r="L169" s="4"/>
      <c r="M169" s="4"/>
      <c r="N169" s="31"/>
      <c r="O169" s="31"/>
    </row>
    <row r="170" spans="1:15" s="115" customFormat="1" x14ac:dyDescent="0.25">
      <c r="A170" s="4"/>
      <c r="B170" s="31"/>
      <c r="C170" s="31"/>
      <c r="D170" s="31"/>
      <c r="K170" s="6"/>
      <c r="L170" s="4"/>
      <c r="M170" s="4"/>
      <c r="N170" s="31"/>
      <c r="O170" s="31"/>
    </row>
    <row r="171" spans="1:15" s="115" customFormat="1" x14ac:dyDescent="0.25">
      <c r="A171" s="4"/>
      <c r="B171" s="31"/>
      <c r="C171" s="31"/>
      <c r="D171" s="31"/>
      <c r="K171" s="6"/>
      <c r="L171" s="4"/>
      <c r="M171" s="4"/>
      <c r="N171" s="31"/>
      <c r="O171" s="31"/>
    </row>
    <row r="172" spans="1:15" s="115" customFormat="1" x14ac:dyDescent="0.25">
      <c r="A172" s="4"/>
      <c r="B172" s="31"/>
      <c r="C172" s="31"/>
      <c r="D172" s="31"/>
      <c r="K172" s="6"/>
      <c r="L172" s="4"/>
      <c r="M172" s="4"/>
      <c r="N172" s="31"/>
      <c r="O172" s="31"/>
    </row>
    <row r="173" spans="1:15" s="115" customFormat="1" x14ac:dyDescent="0.25">
      <c r="A173" s="4"/>
      <c r="B173" s="31"/>
      <c r="C173" s="31"/>
      <c r="D173" s="31"/>
      <c r="K173" s="6"/>
      <c r="L173" s="4"/>
      <c r="M173" s="4"/>
      <c r="N173" s="31"/>
      <c r="O173" s="31"/>
    </row>
  </sheetData>
  <mergeCells count="6">
    <mergeCell ref="B2:K2"/>
    <mergeCell ref="B6:K6"/>
    <mergeCell ref="B7:K7"/>
    <mergeCell ref="B3:K3"/>
    <mergeCell ref="B4:K4"/>
    <mergeCell ref="B5:K5"/>
  </mergeCells>
  <printOptions horizontalCentered="1"/>
  <pageMargins left="0.5" right="0.5" top="0.5" bottom="0.5" header="0.25" footer="0.25"/>
  <pageSetup scale="60" orientation="landscape" r:id="rId1"/>
  <headerFooter scaleWithDoc="0">
    <oddFooter>&amp;C&amp;"Times New Roman,Regular"&amp;10&amp;A</oddFooter>
  </headerFooter>
  <customProperties>
    <customPr name="_pios_id" r:id="rId2"/>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2:P60"/>
  <sheetViews>
    <sheetView zoomScale="70" zoomScaleNormal="70" workbookViewId="0">
      <selection activeCell="L43" sqref="L43"/>
    </sheetView>
  </sheetViews>
  <sheetFormatPr defaultColWidth="9.7109375" defaultRowHeight="15.75" x14ac:dyDescent="0.25"/>
  <cols>
    <col min="1" max="1" width="5.28515625" style="4" customWidth="1"/>
    <col min="2" max="2" width="15.28515625" style="31" customWidth="1"/>
    <col min="3" max="3" width="44.28515625" style="31" customWidth="1"/>
    <col min="4" max="6" width="16.7109375" style="4" customWidth="1"/>
    <col min="7" max="7" width="5.28515625" style="4" customWidth="1"/>
    <col min="8" max="8" width="7.7109375" style="31" customWidth="1"/>
    <col min="9" max="16384" width="9.7109375" style="31"/>
  </cols>
  <sheetData>
    <row r="2" spans="1:15" x14ac:dyDescent="0.25">
      <c r="B2" s="1316" t="s">
        <v>0</v>
      </c>
      <c r="C2" s="1316"/>
      <c r="D2" s="1316"/>
      <c r="E2" s="1316"/>
      <c r="F2" s="1316"/>
      <c r="G2" s="217"/>
      <c r="J2"/>
    </row>
    <row r="3" spans="1:15" x14ac:dyDescent="0.25">
      <c r="B3" s="1316" t="s">
        <v>681</v>
      </c>
      <c r="C3" s="1316"/>
      <c r="D3" s="1316"/>
      <c r="E3" s="1316"/>
      <c r="F3" s="1316"/>
      <c r="G3" s="217"/>
    </row>
    <row r="4" spans="1:15" x14ac:dyDescent="0.25">
      <c r="B4" s="1316" t="s">
        <v>1508</v>
      </c>
      <c r="C4" s="1316"/>
      <c r="D4" s="1316"/>
      <c r="E4" s="1316"/>
      <c r="F4" s="1316"/>
      <c r="G4" s="217"/>
    </row>
    <row r="5" spans="1:15" x14ac:dyDescent="0.25">
      <c r="B5" s="1314" t="s">
        <v>2075</v>
      </c>
      <c r="C5" s="1314"/>
      <c r="D5" s="1314"/>
      <c r="E5" s="1314"/>
      <c r="F5" s="1314"/>
      <c r="G5" s="217"/>
    </row>
    <row r="6" spans="1:15" x14ac:dyDescent="0.25">
      <c r="B6" s="1314" t="s">
        <v>2076</v>
      </c>
      <c r="C6" s="1314"/>
      <c r="D6" s="1314"/>
      <c r="E6" s="1314"/>
      <c r="F6" s="1314"/>
      <c r="G6" s="217"/>
    </row>
    <row r="7" spans="1:15" x14ac:dyDescent="0.25">
      <c r="A7" s="217"/>
      <c r="B7" s="4"/>
      <c r="C7" s="4"/>
    </row>
    <row r="8" spans="1:15" x14ac:dyDescent="0.25">
      <c r="A8" s="431"/>
      <c r="B8" s="287"/>
      <c r="C8" s="943"/>
      <c r="D8" s="943" t="s">
        <v>187</v>
      </c>
      <c r="E8" s="943" t="s">
        <v>188</v>
      </c>
      <c r="F8" s="432" t="s">
        <v>682</v>
      </c>
      <c r="G8" s="297"/>
      <c r="H8" s="217"/>
    </row>
    <row r="9" spans="1:15" x14ac:dyDescent="0.25">
      <c r="A9" s="431" t="s">
        <v>5</v>
      </c>
      <c r="B9" s="273" t="s">
        <v>453</v>
      </c>
      <c r="C9" s="269"/>
      <c r="D9" s="269" t="s">
        <v>683</v>
      </c>
      <c r="E9" s="269" t="s">
        <v>684</v>
      </c>
      <c r="F9" s="297" t="s">
        <v>180</v>
      </c>
      <c r="G9" s="296" t="s">
        <v>5</v>
      </c>
      <c r="H9" s="217"/>
    </row>
    <row r="10" spans="1:15" x14ac:dyDescent="0.25">
      <c r="A10" s="431" t="s">
        <v>6</v>
      </c>
      <c r="B10" s="275" t="s">
        <v>310</v>
      </c>
      <c r="C10" s="274" t="s">
        <v>311</v>
      </c>
      <c r="D10" s="274" t="s">
        <v>685</v>
      </c>
      <c r="E10" s="274" t="s">
        <v>685</v>
      </c>
      <c r="F10" s="305" t="s">
        <v>685</v>
      </c>
      <c r="G10" s="296" t="s">
        <v>6</v>
      </c>
      <c r="H10" s="217"/>
    </row>
    <row r="11" spans="1:15" x14ac:dyDescent="0.25">
      <c r="A11" s="431">
        <v>1</v>
      </c>
      <c r="B11" s="433" t="s">
        <v>1909</v>
      </c>
      <c r="C11" s="1001" t="s">
        <v>1834</v>
      </c>
      <c r="D11" s="1299">
        <v>0.19309999999999999</v>
      </c>
      <c r="E11" s="1299">
        <v>0</v>
      </c>
      <c r="F11" s="1300">
        <v>0.19309999999999999</v>
      </c>
      <c r="G11" s="296">
        <f>A11</f>
        <v>1</v>
      </c>
      <c r="H11" s="217"/>
    </row>
    <row r="12" spans="1:15" x14ac:dyDescent="0.25">
      <c r="A12" s="431">
        <f>1+A11</f>
        <v>2</v>
      </c>
      <c r="B12" s="433" t="s">
        <v>1910</v>
      </c>
      <c r="C12" s="1001" t="s">
        <v>1835</v>
      </c>
      <c r="D12" s="1299">
        <v>0.2</v>
      </c>
      <c r="E12" s="1299">
        <v>0</v>
      </c>
      <c r="F12" s="1300">
        <v>0.2</v>
      </c>
      <c r="G12" s="296">
        <f>G11+1</f>
        <v>2</v>
      </c>
      <c r="H12" s="217"/>
    </row>
    <row r="13" spans="1:15" x14ac:dyDescent="0.25">
      <c r="A13" s="431">
        <f t="shared" ref="A13:A50" si="0">1+A12</f>
        <v>3</v>
      </c>
      <c r="B13" s="433" t="s">
        <v>1911</v>
      </c>
      <c r="C13" s="1001" t="s">
        <v>1836</v>
      </c>
      <c r="D13" s="1299">
        <v>3.09E-2</v>
      </c>
      <c r="E13" s="1299">
        <v>1.7000000000000001E-2</v>
      </c>
      <c r="F13" s="1300">
        <v>4.7899999999999998E-2</v>
      </c>
      <c r="G13" s="296">
        <f t="shared" ref="G13:G50" si="1">G12+1</f>
        <v>3</v>
      </c>
      <c r="H13" s="217"/>
    </row>
    <row r="14" spans="1:15" x14ac:dyDescent="0.25">
      <c r="A14" s="431">
        <f t="shared" si="0"/>
        <v>4</v>
      </c>
      <c r="B14" s="433" t="s">
        <v>2094</v>
      </c>
      <c r="C14" s="1001"/>
      <c r="D14" s="1259">
        <v>3.456334114908248E-2</v>
      </c>
      <c r="E14" s="1259">
        <v>1.7628791055396963E-2</v>
      </c>
      <c r="F14" s="1260">
        <v>5.2192132204479443E-2</v>
      </c>
      <c r="G14" s="296">
        <f t="shared" si="1"/>
        <v>4</v>
      </c>
      <c r="H14" s="217"/>
    </row>
    <row r="15" spans="1:15" x14ac:dyDescent="0.25">
      <c r="A15" s="431">
        <f t="shared" si="0"/>
        <v>5</v>
      </c>
      <c r="B15" s="301" t="s">
        <v>686</v>
      </c>
      <c r="C15" s="952" t="s">
        <v>288</v>
      </c>
      <c r="D15" s="1000">
        <v>1.3599999999999999E-2</v>
      </c>
      <c r="E15" s="1000">
        <v>1.01E-2</v>
      </c>
      <c r="F15" s="1258">
        <v>2.3699999999999999E-2</v>
      </c>
      <c r="G15" s="296">
        <f t="shared" si="1"/>
        <v>5</v>
      </c>
      <c r="H15" s="4"/>
      <c r="I15" s="276"/>
      <c r="J15"/>
      <c r="K15"/>
      <c r="L15"/>
      <c r="M15"/>
      <c r="N15"/>
      <c r="O15"/>
    </row>
    <row r="16" spans="1:15" x14ac:dyDescent="0.25">
      <c r="A16" s="431">
        <f t="shared" si="0"/>
        <v>6</v>
      </c>
      <c r="B16" s="301" t="s">
        <v>687</v>
      </c>
      <c r="C16" s="952" t="s">
        <v>660</v>
      </c>
      <c r="D16" s="1000">
        <v>1.2500000000000001E-2</v>
      </c>
      <c r="E16" s="1000">
        <v>9.2999999999999992E-3</v>
      </c>
      <c r="F16" s="1258">
        <v>2.18E-2</v>
      </c>
      <c r="G16" s="296">
        <f t="shared" si="1"/>
        <v>6</v>
      </c>
      <c r="H16" s="4"/>
      <c r="J16"/>
      <c r="K16"/>
      <c r="L16"/>
      <c r="M16"/>
      <c r="N16"/>
      <c r="O16"/>
    </row>
    <row r="17" spans="1:8" x14ac:dyDescent="0.25">
      <c r="A17" s="431">
        <f t="shared" si="0"/>
        <v>7</v>
      </c>
      <c r="B17" s="301" t="s">
        <v>688</v>
      </c>
      <c r="C17" s="952" t="s">
        <v>689</v>
      </c>
      <c r="D17" s="1000">
        <v>1.38E-2</v>
      </c>
      <c r="E17" s="1000">
        <v>1.03E-2</v>
      </c>
      <c r="F17" s="1258">
        <v>2.41E-2</v>
      </c>
      <c r="G17" s="296">
        <f t="shared" si="1"/>
        <v>7</v>
      </c>
      <c r="H17" s="4"/>
    </row>
    <row r="18" spans="1:8" x14ac:dyDescent="0.25">
      <c r="A18" s="431">
        <f t="shared" si="0"/>
        <v>8</v>
      </c>
      <c r="B18" s="433" t="s">
        <v>2095</v>
      </c>
      <c r="C18" s="1001" t="s">
        <v>690</v>
      </c>
      <c r="D18" s="1259">
        <v>1.3451120274841574E-2</v>
      </c>
      <c r="E18" s="1259">
        <v>1.0077603659650441E-2</v>
      </c>
      <c r="F18" s="1260">
        <v>2.3528723934492013E-2</v>
      </c>
      <c r="G18" s="296">
        <f t="shared" si="1"/>
        <v>8</v>
      </c>
      <c r="H18" s="4"/>
    </row>
    <row r="19" spans="1:8" x14ac:dyDescent="0.25">
      <c r="A19" s="431">
        <f t="shared" si="0"/>
        <v>9</v>
      </c>
      <c r="B19" s="301" t="s">
        <v>691</v>
      </c>
      <c r="C19" s="952" t="s">
        <v>288</v>
      </c>
      <c r="D19" s="1000">
        <v>2.06E-2</v>
      </c>
      <c r="E19" s="1000">
        <v>1.43E-2</v>
      </c>
      <c r="F19" s="1258">
        <v>3.49E-2</v>
      </c>
      <c r="G19" s="296">
        <f t="shared" si="1"/>
        <v>9</v>
      </c>
      <c r="H19" s="4"/>
    </row>
    <row r="20" spans="1:8" x14ac:dyDescent="0.25">
      <c r="A20" s="431">
        <f t="shared" si="0"/>
        <v>10</v>
      </c>
      <c r="B20" s="301" t="s">
        <v>692</v>
      </c>
      <c r="C20" s="952" t="s">
        <v>660</v>
      </c>
      <c r="D20" s="1000">
        <v>2.0500000000000001E-2</v>
      </c>
      <c r="E20" s="1000">
        <v>1.44E-2</v>
      </c>
      <c r="F20" s="1258">
        <v>3.49E-2</v>
      </c>
      <c r="G20" s="296">
        <f t="shared" si="1"/>
        <v>10</v>
      </c>
      <c r="H20" s="4"/>
    </row>
    <row r="21" spans="1:8" x14ac:dyDescent="0.25">
      <c r="A21" s="431">
        <f t="shared" si="0"/>
        <v>11</v>
      </c>
      <c r="B21" s="301" t="s">
        <v>693</v>
      </c>
      <c r="C21" s="952" t="s">
        <v>694</v>
      </c>
      <c r="D21" s="1000">
        <v>2.1399999999999999E-2</v>
      </c>
      <c r="E21" s="1000">
        <v>1.4999999999999999E-2</v>
      </c>
      <c r="F21" s="1258">
        <v>3.6400000000000002E-2</v>
      </c>
      <c r="G21" s="296">
        <f t="shared" si="1"/>
        <v>11</v>
      </c>
      <c r="H21" s="4"/>
    </row>
    <row r="22" spans="1:8" x14ac:dyDescent="0.25">
      <c r="A22" s="431">
        <f t="shared" si="0"/>
        <v>12</v>
      </c>
      <c r="B22" s="301" t="s">
        <v>695</v>
      </c>
      <c r="C22" s="952" t="s">
        <v>689</v>
      </c>
      <c r="D22" s="1000">
        <v>2.0500000000000001E-2</v>
      </c>
      <c r="E22" s="1000">
        <v>1.43E-2</v>
      </c>
      <c r="F22" s="1258">
        <v>3.4799999999999998E-2</v>
      </c>
      <c r="G22" s="296">
        <f t="shared" si="1"/>
        <v>12</v>
      </c>
      <c r="H22" s="4"/>
    </row>
    <row r="23" spans="1:8" x14ac:dyDescent="0.25">
      <c r="A23" s="431">
        <f t="shared" si="0"/>
        <v>13</v>
      </c>
      <c r="B23" s="433" t="s">
        <v>696</v>
      </c>
      <c r="C23" s="1001" t="s">
        <v>697</v>
      </c>
      <c r="D23" s="1259">
        <v>2.0444809999878237E-2</v>
      </c>
      <c r="E23" s="1259">
        <v>1.4314124465866043E-2</v>
      </c>
      <c r="F23" s="1260">
        <v>3.4758934465744282E-2</v>
      </c>
      <c r="G23" s="296">
        <f t="shared" si="1"/>
        <v>13</v>
      </c>
      <c r="H23" s="4"/>
    </row>
    <row r="24" spans="1:8" x14ac:dyDescent="0.25">
      <c r="A24" s="431">
        <f t="shared" si="0"/>
        <v>14</v>
      </c>
      <c r="B24" s="301" t="s">
        <v>698</v>
      </c>
      <c r="C24" s="952" t="s">
        <v>288</v>
      </c>
      <c r="D24" s="1000">
        <v>1.35E-2</v>
      </c>
      <c r="E24" s="1000">
        <v>1.01E-2</v>
      </c>
      <c r="F24" s="1258">
        <v>2.3599999999999999E-2</v>
      </c>
      <c r="G24" s="296">
        <f t="shared" si="1"/>
        <v>14</v>
      </c>
      <c r="H24" s="4"/>
    </row>
    <row r="25" spans="1:8" x14ac:dyDescent="0.25">
      <c r="A25" s="431">
        <f t="shared" si="0"/>
        <v>15</v>
      </c>
      <c r="B25" s="301" t="s">
        <v>699</v>
      </c>
      <c r="C25" s="952" t="s">
        <v>660</v>
      </c>
      <c r="D25" s="1000">
        <v>1.1599999999999999E-2</v>
      </c>
      <c r="E25" s="1000">
        <v>8.6E-3</v>
      </c>
      <c r="F25" s="1258">
        <v>2.0199999999999999E-2</v>
      </c>
      <c r="G25" s="296">
        <f t="shared" si="1"/>
        <v>15</v>
      </c>
      <c r="H25" s="4"/>
    </row>
    <row r="26" spans="1:8" x14ac:dyDescent="0.25">
      <c r="A26" s="431">
        <f t="shared" si="0"/>
        <v>16</v>
      </c>
      <c r="B26" s="301" t="s">
        <v>700</v>
      </c>
      <c r="C26" s="952" t="s">
        <v>689</v>
      </c>
      <c r="D26" s="1000">
        <v>1.47E-2</v>
      </c>
      <c r="E26" s="1000">
        <v>1.0999999999999999E-2</v>
      </c>
      <c r="F26" s="1258">
        <v>2.5700000000000001E-2</v>
      </c>
      <c r="G26" s="296">
        <f t="shared" si="1"/>
        <v>16</v>
      </c>
      <c r="H26" s="4"/>
    </row>
    <row r="27" spans="1:8" x14ac:dyDescent="0.25">
      <c r="A27" s="431">
        <f t="shared" si="0"/>
        <v>17</v>
      </c>
      <c r="B27" s="433" t="s">
        <v>701</v>
      </c>
      <c r="C27" s="1001" t="s">
        <v>702</v>
      </c>
      <c r="D27" s="1259">
        <v>1.4349144995645383E-2</v>
      </c>
      <c r="E27" s="1259">
        <v>1.0736160736947525E-2</v>
      </c>
      <c r="F27" s="1260">
        <v>2.5085305732592909E-2</v>
      </c>
      <c r="G27" s="296">
        <f t="shared" si="1"/>
        <v>17</v>
      </c>
      <c r="H27" s="4"/>
    </row>
    <row r="28" spans="1:8" x14ac:dyDescent="0.25">
      <c r="A28" s="431">
        <f t="shared" si="0"/>
        <v>18</v>
      </c>
      <c r="B28" s="301" t="s">
        <v>703</v>
      </c>
      <c r="C28" s="952" t="s">
        <v>288</v>
      </c>
      <c r="D28" s="1000">
        <v>2.29E-2</v>
      </c>
      <c r="E28" s="1000">
        <v>2.2800000000000001E-2</v>
      </c>
      <c r="F28" s="1258">
        <v>4.5700000000000005E-2</v>
      </c>
      <c r="G28" s="296">
        <f t="shared" si="1"/>
        <v>18</v>
      </c>
      <c r="H28" s="4"/>
    </row>
    <row r="29" spans="1:8" x14ac:dyDescent="0.25">
      <c r="A29" s="431">
        <f t="shared" si="0"/>
        <v>19</v>
      </c>
      <c r="B29" s="301" t="s">
        <v>704</v>
      </c>
      <c r="C29" s="952" t="s">
        <v>660</v>
      </c>
      <c r="D29" s="1000">
        <v>1.7000000000000001E-2</v>
      </c>
      <c r="E29" s="1000">
        <v>1.7000000000000001E-2</v>
      </c>
      <c r="F29" s="1258">
        <v>3.4000000000000002E-2</v>
      </c>
      <c r="G29" s="296">
        <f t="shared" si="1"/>
        <v>19</v>
      </c>
      <c r="H29" s="4"/>
    </row>
    <row r="30" spans="1:8" x14ac:dyDescent="0.25">
      <c r="A30" s="431">
        <f t="shared" si="0"/>
        <v>20</v>
      </c>
      <c r="B30" s="301" t="s">
        <v>705</v>
      </c>
      <c r="C30" s="952" t="s">
        <v>689</v>
      </c>
      <c r="D30" s="1000">
        <v>2.2599999999999999E-2</v>
      </c>
      <c r="E30" s="1000">
        <v>2.2499999999999999E-2</v>
      </c>
      <c r="F30" s="1258">
        <v>4.5100000000000001E-2</v>
      </c>
      <c r="G30" s="296">
        <f t="shared" si="1"/>
        <v>20</v>
      </c>
      <c r="H30" s="4"/>
    </row>
    <row r="31" spans="1:8" x14ac:dyDescent="0.25">
      <c r="A31" s="431">
        <f t="shared" si="0"/>
        <v>21</v>
      </c>
      <c r="B31" s="433" t="s">
        <v>706</v>
      </c>
      <c r="C31" s="1001" t="s">
        <v>707</v>
      </c>
      <c r="D31" s="1259">
        <v>2.2418185325251236E-2</v>
      </c>
      <c r="E31" s="1259">
        <v>2.2754845696003636E-2</v>
      </c>
      <c r="F31" s="1260">
        <v>4.5173031021254875E-2</v>
      </c>
      <c r="G31" s="296">
        <f t="shared" si="1"/>
        <v>21</v>
      </c>
      <c r="H31" s="4"/>
    </row>
    <row r="32" spans="1:8" x14ac:dyDescent="0.25">
      <c r="A32" s="431">
        <f t="shared" si="0"/>
        <v>22</v>
      </c>
      <c r="B32" s="301" t="s">
        <v>708</v>
      </c>
      <c r="C32" s="952" t="s">
        <v>288</v>
      </c>
      <c r="D32" s="1000">
        <v>1.52E-2</v>
      </c>
      <c r="E32" s="1000">
        <v>1.5100000000000001E-2</v>
      </c>
      <c r="F32" s="1258">
        <v>3.0300000000000001E-2</v>
      </c>
      <c r="G32" s="296">
        <f t="shared" si="1"/>
        <v>22</v>
      </c>
      <c r="H32" s="4"/>
    </row>
    <row r="33" spans="1:9" x14ac:dyDescent="0.25">
      <c r="A33" s="431">
        <f t="shared" si="0"/>
        <v>23</v>
      </c>
      <c r="B33" s="301" t="s">
        <v>709</v>
      </c>
      <c r="C33" s="952" t="s">
        <v>660</v>
      </c>
      <c r="D33" s="1000">
        <v>7.1000000000000004E-3</v>
      </c>
      <c r="E33" s="1000">
        <v>7.1000000000000004E-3</v>
      </c>
      <c r="F33" s="1258">
        <v>1.4200000000000001E-2</v>
      </c>
      <c r="G33" s="296">
        <f t="shared" si="1"/>
        <v>23</v>
      </c>
      <c r="H33" s="4"/>
    </row>
    <row r="34" spans="1:9" x14ac:dyDescent="0.25">
      <c r="A34" s="431">
        <f t="shared" si="0"/>
        <v>24</v>
      </c>
      <c r="B34" s="301" t="s">
        <v>710</v>
      </c>
      <c r="C34" s="952" t="s">
        <v>689</v>
      </c>
      <c r="D34" s="1000">
        <v>1.61E-2</v>
      </c>
      <c r="E34" s="1000">
        <v>1.61E-2</v>
      </c>
      <c r="F34" s="1258">
        <v>3.2199999999999999E-2</v>
      </c>
      <c r="G34" s="296">
        <f t="shared" si="1"/>
        <v>24</v>
      </c>
      <c r="H34" s="4"/>
    </row>
    <row r="35" spans="1:9" x14ac:dyDescent="0.25">
      <c r="A35" s="431">
        <f t="shared" si="0"/>
        <v>25</v>
      </c>
      <c r="B35" s="433" t="s">
        <v>711</v>
      </c>
      <c r="C35" s="1001" t="s">
        <v>712</v>
      </c>
      <c r="D35" s="1259">
        <v>1.4782642291942207E-2</v>
      </c>
      <c r="E35" s="1259">
        <v>1.49146930229564E-2</v>
      </c>
      <c r="F35" s="1260">
        <v>2.9697335314898606E-2</v>
      </c>
      <c r="G35" s="296">
        <f t="shared" si="1"/>
        <v>25</v>
      </c>
      <c r="H35" s="4"/>
    </row>
    <row r="36" spans="1:9" x14ac:dyDescent="0.25">
      <c r="A36" s="431">
        <f t="shared" si="0"/>
        <v>26</v>
      </c>
      <c r="B36" s="301" t="s">
        <v>713</v>
      </c>
      <c r="C36" s="952" t="s">
        <v>714</v>
      </c>
      <c r="D36" s="1000">
        <v>1.6500000000000001E-2</v>
      </c>
      <c r="E36" s="1000">
        <v>4.8999999999999998E-3</v>
      </c>
      <c r="F36" s="1258">
        <v>2.1400000000000002E-2</v>
      </c>
      <c r="G36" s="296">
        <f t="shared" si="1"/>
        <v>26</v>
      </c>
      <c r="H36" s="4"/>
    </row>
    <row r="37" spans="1:9" x14ac:dyDescent="0.25">
      <c r="A37" s="431">
        <f t="shared" si="0"/>
        <v>27</v>
      </c>
      <c r="B37" s="301" t="s">
        <v>715</v>
      </c>
      <c r="C37" s="952" t="s">
        <v>716</v>
      </c>
      <c r="D37" s="1000">
        <v>1.6899999999999998E-2</v>
      </c>
      <c r="E37" s="1000">
        <v>5.1000000000000004E-3</v>
      </c>
      <c r="F37" s="1258">
        <v>2.1999999999999999E-2</v>
      </c>
      <c r="G37" s="296">
        <f t="shared" si="1"/>
        <v>27</v>
      </c>
      <c r="H37" s="4"/>
    </row>
    <row r="38" spans="1:9" x14ac:dyDescent="0.25">
      <c r="A38" s="431">
        <f t="shared" si="0"/>
        <v>28</v>
      </c>
      <c r="B38" s="433" t="s">
        <v>717</v>
      </c>
      <c r="C38" s="1001" t="s">
        <v>718</v>
      </c>
      <c r="D38" s="1259">
        <v>1.6530399959023674E-2</v>
      </c>
      <c r="E38" s="1259">
        <v>4.9237053614116181E-3</v>
      </c>
      <c r="F38" s="1260">
        <v>2.1454105320435291E-2</v>
      </c>
      <c r="G38" s="296">
        <f t="shared" si="1"/>
        <v>28</v>
      </c>
      <c r="H38" s="4"/>
    </row>
    <row r="39" spans="1:9" x14ac:dyDescent="0.25">
      <c r="A39" s="431">
        <f t="shared" si="0"/>
        <v>29</v>
      </c>
      <c r="B39" s="301" t="s">
        <v>719</v>
      </c>
      <c r="C39" s="952" t="s">
        <v>714</v>
      </c>
      <c r="D39" s="1000">
        <v>1.9400000000000001E-2</v>
      </c>
      <c r="E39" s="1000">
        <v>1.9E-3</v>
      </c>
      <c r="F39" s="1258">
        <v>2.1299999999999999E-2</v>
      </c>
      <c r="G39" s="296">
        <f t="shared" si="1"/>
        <v>29</v>
      </c>
      <c r="H39" s="4"/>
    </row>
    <row r="40" spans="1:9" x14ac:dyDescent="0.25">
      <c r="A40" s="431">
        <f t="shared" si="0"/>
        <v>30</v>
      </c>
      <c r="B40" s="301" t="s">
        <v>720</v>
      </c>
      <c r="C40" s="952" t="s">
        <v>716</v>
      </c>
      <c r="D40" s="1000">
        <v>1.9900000000000001E-2</v>
      </c>
      <c r="E40" s="1000">
        <v>2E-3</v>
      </c>
      <c r="F40" s="1258">
        <v>2.1900000000000003E-2</v>
      </c>
      <c r="G40" s="296">
        <f t="shared" si="1"/>
        <v>30</v>
      </c>
      <c r="H40" s="4"/>
    </row>
    <row r="41" spans="1:9" x14ac:dyDescent="0.25">
      <c r="A41" s="431">
        <f t="shared" si="0"/>
        <v>31</v>
      </c>
      <c r="B41" s="433" t="s">
        <v>721</v>
      </c>
      <c r="C41" s="1001" t="s">
        <v>722</v>
      </c>
      <c r="D41" s="1259">
        <v>1.939321151247473E-2</v>
      </c>
      <c r="E41" s="1259">
        <v>1.9183051787807826E-3</v>
      </c>
      <c r="F41" s="1260">
        <v>2.1311516691255514E-2</v>
      </c>
      <c r="G41" s="296">
        <f t="shared" si="1"/>
        <v>31</v>
      </c>
      <c r="H41" s="4"/>
    </row>
    <row r="42" spans="1:9" x14ac:dyDescent="0.25">
      <c r="A42" s="431">
        <f t="shared" si="0"/>
        <v>32</v>
      </c>
      <c r="B42" s="301" t="s">
        <v>723</v>
      </c>
      <c r="C42" s="952" t="s">
        <v>288</v>
      </c>
      <c r="D42" s="1000">
        <v>1.6899999999999998E-2</v>
      </c>
      <c r="E42" s="1000">
        <v>0</v>
      </c>
      <c r="F42" s="1258">
        <v>1.6899999999999998E-2</v>
      </c>
      <c r="G42" s="296">
        <f t="shared" si="1"/>
        <v>32</v>
      </c>
      <c r="H42" s="4"/>
    </row>
    <row r="43" spans="1:9" x14ac:dyDescent="0.25">
      <c r="A43" s="431">
        <f t="shared" si="0"/>
        <v>33</v>
      </c>
      <c r="B43" s="301" t="s">
        <v>724</v>
      </c>
      <c r="C43" s="952" t="s">
        <v>660</v>
      </c>
      <c r="D43" s="1000">
        <v>1.5100000000000001E-2</v>
      </c>
      <c r="E43" s="1000">
        <v>0</v>
      </c>
      <c r="F43" s="1258">
        <v>1.5100000000000001E-2</v>
      </c>
      <c r="G43" s="296">
        <f t="shared" si="1"/>
        <v>33</v>
      </c>
      <c r="H43" s="4"/>
    </row>
    <row r="44" spans="1:9" x14ac:dyDescent="0.25">
      <c r="A44" s="431">
        <f t="shared" si="0"/>
        <v>34</v>
      </c>
      <c r="B44" s="301" t="s">
        <v>725</v>
      </c>
      <c r="C44" s="952" t="s">
        <v>689</v>
      </c>
      <c r="D44" s="1000">
        <v>1.66E-2</v>
      </c>
      <c r="E44" s="1000">
        <v>0</v>
      </c>
      <c r="F44" s="1258">
        <v>1.66E-2</v>
      </c>
      <c r="G44" s="296">
        <f t="shared" si="1"/>
        <v>34</v>
      </c>
      <c r="H44" s="4"/>
    </row>
    <row r="45" spans="1:9" x14ac:dyDescent="0.25">
      <c r="A45" s="431">
        <f t="shared" si="0"/>
        <v>35</v>
      </c>
      <c r="B45" s="433" t="s">
        <v>726</v>
      </c>
      <c r="C45" s="1001" t="s">
        <v>331</v>
      </c>
      <c r="D45" s="1259">
        <v>1.6509431265308322E-2</v>
      </c>
      <c r="E45" s="1259">
        <v>0</v>
      </c>
      <c r="F45" s="1260">
        <v>1.6509431265308322E-2</v>
      </c>
      <c r="G45" s="296">
        <f t="shared" si="1"/>
        <v>35</v>
      </c>
      <c r="H45" s="4"/>
    </row>
    <row r="46" spans="1:9" x14ac:dyDescent="0.25">
      <c r="A46" s="431">
        <f t="shared" si="0"/>
        <v>36</v>
      </c>
      <c r="B46" s="1002"/>
      <c r="C46" s="434"/>
      <c r="D46" s="1000"/>
      <c r="E46" s="1000"/>
      <c r="F46" s="1003"/>
      <c r="G46" s="296">
        <f t="shared" si="1"/>
        <v>36</v>
      </c>
      <c r="H46" s="4"/>
    </row>
    <row r="47" spans="1:9" x14ac:dyDescent="0.25">
      <c r="A47" s="431">
        <f t="shared" si="0"/>
        <v>37</v>
      </c>
      <c r="B47" s="1328" t="s">
        <v>148</v>
      </c>
      <c r="C47" s="1329"/>
      <c r="D47" s="1259">
        <v>1.8254058401665801E-2</v>
      </c>
      <c r="E47" s="1259">
        <v>1.2497531843252495E-2</v>
      </c>
      <c r="F47" s="1260">
        <f>D47+E47</f>
        <v>3.0751590244918296E-2</v>
      </c>
      <c r="G47" s="296">
        <f t="shared" si="1"/>
        <v>37</v>
      </c>
      <c r="H47" s="4"/>
      <c r="I47" s="276"/>
    </row>
    <row r="48" spans="1:9" x14ac:dyDescent="0.25">
      <c r="A48" s="431">
        <f t="shared" si="0"/>
        <v>38</v>
      </c>
      <c r="B48" s="1002"/>
      <c r="C48" s="434"/>
      <c r="D48" s="1000"/>
      <c r="E48" s="1000"/>
      <c r="F48" s="1003"/>
      <c r="G48" s="296">
        <f t="shared" si="1"/>
        <v>38</v>
      </c>
    </row>
    <row r="49" spans="1:16" x14ac:dyDescent="0.25">
      <c r="A49" s="431">
        <f t="shared" si="0"/>
        <v>39</v>
      </c>
      <c r="B49" s="1328" t="s">
        <v>1907</v>
      </c>
      <c r="C49" s="1329"/>
      <c r="D49" s="1000"/>
      <c r="E49" s="1000"/>
      <c r="F49" s="1261">
        <v>2.877E-2</v>
      </c>
      <c r="G49" s="296">
        <f t="shared" si="1"/>
        <v>39</v>
      </c>
      <c r="J49"/>
      <c r="K49"/>
      <c r="L49"/>
      <c r="M49"/>
      <c r="N49"/>
      <c r="O49"/>
      <c r="P49"/>
    </row>
    <row r="50" spans="1:16" x14ac:dyDescent="0.25">
      <c r="A50" s="431">
        <f t="shared" si="0"/>
        <v>40</v>
      </c>
      <c r="B50" s="1002"/>
      <c r="C50" s="434"/>
      <c r="D50" s="1000"/>
      <c r="E50" s="1000"/>
      <c r="F50" s="1003"/>
      <c r="G50" s="296">
        <f t="shared" si="1"/>
        <v>40</v>
      </c>
    </row>
    <row r="54" spans="1:16" ht="18.75" x14ac:dyDescent="0.25">
      <c r="A54" s="265"/>
      <c r="B54" s="31" t="s">
        <v>1507</v>
      </c>
      <c r="J54" s="254"/>
    </row>
    <row r="55" spans="1:16" x14ac:dyDescent="0.25">
      <c r="B55" s="31" t="s">
        <v>727</v>
      </c>
      <c r="D55" s="50"/>
      <c r="E55" s="50"/>
      <c r="J55" s="254"/>
    </row>
    <row r="56" spans="1:16" x14ac:dyDescent="0.25">
      <c r="B56" s="31" t="s">
        <v>1970</v>
      </c>
      <c r="D56" s="50"/>
      <c r="E56" s="435"/>
    </row>
    <row r="58" spans="1:16" x14ac:dyDescent="0.25">
      <c r="B58" s="1267" t="s">
        <v>1908</v>
      </c>
      <c r="J58"/>
      <c r="K58"/>
      <c r="L58"/>
      <c r="M58"/>
    </row>
    <row r="59" spans="1:16" x14ac:dyDescent="0.25">
      <c r="B59" s="31" t="s">
        <v>2079</v>
      </c>
    </row>
    <row r="60" spans="1:16" x14ac:dyDescent="0.25">
      <c r="B60" s="31" t="s">
        <v>2080</v>
      </c>
    </row>
  </sheetData>
  <mergeCells count="7">
    <mergeCell ref="B49:C49"/>
    <mergeCell ref="B47:C47"/>
    <mergeCell ref="B2:F2"/>
    <mergeCell ref="B3:F3"/>
    <mergeCell ref="B4:F4"/>
    <mergeCell ref="B5:F5"/>
    <mergeCell ref="B6:F6"/>
  </mergeCells>
  <printOptions horizontalCentered="1"/>
  <pageMargins left="0.5" right="0.5" top="0.5" bottom="0.5" header="0.25" footer="0.25"/>
  <pageSetup scale="78" orientation="portrait" r:id="rId1"/>
  <headerFooter scaleWithDoc="0">
    <oddFooter>&amp;C&amp;"Times New Roman,Regular"&amp;10Transmission Plant Depreciation Rates
&amp;A</oddFoot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K49"/>
  <sheetViews>
    <sheetView view="pageBreakPreview" zoomScale="60" zoomScaleNormal="80" workbookViewId="0">
      <selection activeCell="H42" sqref="H42"/>
    </sheetView>
  </sheetViews>
  <sheetFormatPr defaultColWidth="9.28515625" defaultRowHeight="15.75" x14ac:dyDescent="0.25"/>
  <cols>
    <col min="1" max="1" width="5.28515625" style="217" customWidth="1"/>
    <col min="2" max="2" width="35.28515625" style="1" customWidth="1"/>
    <col min="3" max="3" width="18.5703125" style="86" customWidth="1"/>
    <col min="4" max="4" width="3.5703125" style="86" customWidth="1"/>
    <col min="5" max="5" width="26" style="1" customWidth="1"/>
    <col min="6" max="6" width="18.5703125" style="1" customWidth="1"/>
    <col min="7" max="7" width="3.42578125" style="1" customWidth="1"/>
    <col min="8" max="8" width="62.5703125" style="1" customWidth="1"/>
    <col min="9" max="9" width="5.28515625" style="217" customWidth="1"/>
    <col min="10" max="10" width="24" style="1" customWidth="1"/>
    <col min="11" max="11" width="11" style="1" customWidth="1"/>
    <col min="12" max="12" width="7.28515625" style="1" customWidth="1"/>
    <col min="13" max="13" width="9.28515625" style="1" customWidth="1"/>
    <col min="14" max="14" width="14" style="1" customWidth="1"/>
    <col min="15" max="15" width="13.42578125" style="1" customWidth="1"/>
    <col min="16" max="16384" width="9.28515625" style="1"/>
  </cols>
  <sheetData>
    <row r="2" spans="1:11" x14ac:dyDescent="0.25">
      <c r="B2" s="1316" t="s">
        <v>0</v>
      </c>
      <c r="C2" s="1316"/>
      <c r="D2" s="1316"/>
      <c r="E2" s="1316"/>
      <c r="F2" s="1316"/>
      <c r="G2" s="1316"/>
      <c r="H2" s="1316"/>
    </row>
    <row r="3" spans="1:11" x14ac:dyDescent="0.25">
      <c r="B3" s="1316" t="s">
        <v>255</v>
      </c>
      <c r="C3" s="1316"/>
      <c r="D3" s="1316"/>
      <c r="E3" s="1316"/>
      <c r="F3" s="1316"/>
      <c r="G3" s="1316"/>
      <c r="H3" s="1316"/>
    </row>
    <row r="4" spans="1:11" x14ac:dyDescent="0.25">
      <c r="B4" s="1316" t="s">
        <v>256</v>
      </c>
      <c r="C4" s="1316"/>
      <c r="D4" s="1316"/>
      <c r="E4" s="1316"/>
      <c r="F4" s="1316"/>
      <c r="G4" s="1316"/>
      <c r="H4" s="1316"/>
    </row>
    <row r="5" spans="1:11" x14ac:dyDescent="0.25">
      <c r="B5" s="1316" t="s">
        <v>2040</v>
      </c>
      <c r="C5" s="1316"/>
      <c r="D5" s="1316"/>
      <c r="E5" s="1316"/>
      <c r="F5" s="1316"/>
      <c r="G5" s="1316"/>
      <c r="H5" s="1316"/>
    </row>
    <row r="6" spans="1:11" x14ac:dyDescent="0.25">
      <c r="B6" s="1312" t="s">
        <v>4</v>
      </c>
      <c r="C6" s="1312"/>
      <c r="D6" s="1312"/>
      <c r="E6" s="1312"/>
      <c r="F6" s="1312"/>
      <c r="G6" s="1312"/>
      <c r="H6" s="1312"/>
    </row>
    <row r="7" spans="1:11" x14ac:dyDescent="0.25">
      <c r="B7" s="266"/>
      <c r="C7" s="267"/>
      <c r="D7" s="267"/>
      <c r="E7" s="266"/>
      <c r="F7" s="266"/>
      <c r="G7" s="266"/>
      <c r="H7" s="266"/>
    </row>
    <row r="8" spans="1:11" x14ac:dyDescent="0.25">
      <c r="B8" s="1316" t="s">
        <v>257</v>
      </c>
      <c r="C8" s="1316"/>
      <c r="D8" s="1316"/>
      <c r="E8" s="1316"/>
      <c r="F8" s="1316"/>
      <c r="G8" s="1316"/>
      <c r="H8" s="1316"/>
    </row>
    <row r="10" spans="1:11" x14ac:dyDescent="0.25">
      <c r="B10" s="924"/>
      <c r="C10" s="1077" t="s">
        <v>180</v>
      </c>
      <c r="D10" s="268"/>
      <c r="E10" s="925"/>
      <c r="F10" s="1077"/>
      <c r="G10" s="268"/>
      <c r="H10" s="925"/>
    </row>
    <row r="11" spans="1:11" x14ac:dyDescent="0.25">
      <c r="B11" s="269"/>
      <c r="C11" s="217" t="s">
        <v>258</v>
      </c>
      <c r="D11" s="273"/>
      <c r="E11" s="269"/>
      <c r="F11" s="261" t="s">
        <v>258</v>
      </c>
      <c r="G11" s="270"/>
      <c r="H11" s="926"/>
    </row>
    <row r="12" spans="1:11" x14ac:dyDescent="0.25">
      <c r="A12" s="4" t="s">
        <v>5</v>
      </c>
      <c r="B12" s="272"/>
      <c r="C12" s="217" t="s">
        <v>259</v>
      </c>
      <c r="D12" s="273"/>
      <c r="E12" s="269"/>
      <c r="F12" s="217" t="s">
        <v>259</v>
      </c>
      <c r="G12" s="273"/>
      <c r="H12" s="926"/>
      <c r="I12" s="4" t="s">
        <v>5</v>
      </c>
    </row>
    <row r="13" spans="1:11" ht="18.75" x14ac:dyDescent="0.25">
      <c r="A13" s="4" t="s">
        <v>6</v>
      </c>
      <c r="B13" s="274" t="s">
        <v>260</v>
      </c>
      <c r="C13" s="927" t="s">
        <v>261</v>
      </c>
      <c r="D13" s="275"/>
      <c r="E13" s="274" t="s">
        <v>8</v>
      </c>
      <c r="F13" s="927" t="s">
        <v>262</v>
      </c>
      <c r="G13" s="275"/>
      <c r="H13" s="274" t="s">
        <v>8</v>
      </c>
      <c r="I13" s="4" t="s">
        <v>6</v>
      </c>
    </row>
    <row r="14" spans="1:11" x14ac:dyDescent="0.25">
      <c r="A14" s="4">
        <v>1</v>
      </c>
      <c r="B14" s="928" t="s">
        <v>1948</v>
      </c>
      <c r="C14" s="43">
        <v>584632.43715000001</v>
      </c>
      <c r="D14" s="1086" t="s">
        <v>2062</v>
      </c>
      <c r="E14" s="929" t="s">
        <v>263</v>
      </c>
      <c r="F14" s="43">
        <v>600296.92223000003</v>
      </c>
      <c r="G14" s="1086" t="s">
        <v>2062</v>
      </c>
      <c r="H14" s="929" t="s">
        <v>264</v>
      </c>
      <c r="I14" s="4">
        <f>A14</f>
        <v>1</v>
      </c>
      <c r="J14" s="276"/>
      <c r="K14" s="276"/>
    </row>
    <row r="15" spans="1:11" x14ac:dyDescent="0.25">
      <c r="A15" s="4">
        <f>A14+1</f>
        <v>2</v>
      </c>
      <c r="B15" s="928" t="s">
        <v>2041</v>
      </c>
      <c r="C15" s="6">
        <v>584715.23063999997</v>
      </c>
      <c r="D15" s="52"/>
      <c r="E15" s="930"/>
      <c r="F15" s="6">
        <v>600379.71571999998</v>
      </c>
      <c r="G15" s="52"/>
      <c r="H15" s="930"/>
      <c r="I15" s="4">
        <f>I14+1</f>
        <v>2</v>
      </c>
    </row>
    <row r="16" spans="1:11" x14ac:dyDescent="0.25">
      <c r="A16" s="4">
        <f t="shared" ref="A16:A32" si="0">A15+1</f>
        <v>3</v>
      </c>
      <c r="B16" s="931" t="s">
        <v>265</v>
      </c>
      <c r="C16" s="6">
        <v>584827.73091000004</v>
      </c>
      <c r="D16" s="52"/>
      <c r="E16" s="930"/>
      <c r="F16" s="6">
        <v>600492.21599000006</v>
      </c>
      <c r="G16" s="52"/>
      <c r="H16" s="930"/>
      <c r="I16" s="4">
        <f t="shared" ref="I16:I32" si="1">I15+1</f>
        <v>3</v>
      </c>
    </row>
    <row r="17" spans="1:11" x14ac:dyDescent="0.25">
      <c r="A17" s="4">
        <f t="shared" si="0"/>
        <v>4</v>
      </c>
      <c r="B17" s="931" t="s">
        <v>266</v>
      </c>
      <c r="C17" s="6">
        <v>590704.83398</v>
      </c>
      <c r="D17" s="52"/>
      <c r="E17" s="930"/>
      <c r="F17" s="6">
        <v>606369.31906000001</v>
      </c>
      <c r="G17" s="52"/>
      <c r="H17" s="930"/>
      <c r="I17" s="4">
        <f t="shared" si="1"/>
        <v>4</v>
      </c>
    </row>
    <row r="18" spans="1:11" x14ac:dyDescent="0.25">
      <c r="A18" s="4">
        <f t="shared" si="0"/>
        <v>5</v>
      </c>
      <c r="B18" s="931" t="s">
        <v>267</v>
      </c>
      <c r="C18" s="6">
        <v>591400.51767999993</v>
      </c>
      <c r="D18" s="52"/>
      <c r="E18" s="930"/>
      <c r="F18" s="6">
        <v>607065.00275999994</v>
      </c>
      <c r="G18" s="52"/>
      <c r="H18" s="930"/>
      <c r="I18" s="4">
        <f t="shared" si="1"/>
        <v>5</v>
      </c>
    </row>
    <row r="19" spans="1:11" x14ac:dyDescent="0.25">
      <c r="A19" s="4">
        <f t="shared" si="0"/>
        <v>6</v>
      </c>
      <c r="B19" s="931" t="s">
        <v>268</v>
      </c>
      <c r="C19" s="6">
        <v>591500.55914000003</v>
      </c>
      <c r="D19" s="52"/>
      <c r="E19" s="930"/>
      <c r="F19" s="6">
        <v>607165.04422000004</v>
      </c>
      <c r="G19" s="52"/>
      <c r="H19" s="930"/>
      <c r="I19" s="4">
        <f t="shared" si="1"/>
        <v>6</v>
      </c>
    </row>
    <row r="20" spans="1:11" x14ac:dyDescent="0.25">
      <c r="A20" s="4">
        <f>A19+1</f>
        <v>7</v>
      </c>
      <c r="B20" s="931" t="s">
        <v>269</v>
      </c>
      <c r="C20" s="6">
        <v>591855.39881999989</v>
      </c>
      <c r="D20" s="52"/>
      <c r="E20" s="930"/>
      <c r="F20" s="6">
        <v>607519.8838999999</v>
      </c>
      <c r="G20" s="52"/>
      <c r="H20" s="930"/>
      <c r="I20" s="4">
        <f>I19+1</f>
        <v>7</v>
      </c>
    </row>
    <row r="21" spans="1:11" x14ac:dyDescent="0.25">
      <c r="A21" s="4">
        <f t="shared" si="0"/>
        <v>8</v>
      </c>
      <c r="B21" s="931" t="s">
        <v>270</v>
      </c>
      <c r="C21" s="6">
        <v>591675.66486999986</v>
      </c>
      <c r="D21" s="52"/>
      <c r="E21" s="930"/>
      <c r="F21" s="6">
        <v>607340.14994999988</v>
      </c>
      <c r="G21" s="52"/>
      <c r="H21" s="930"/>
      <c r="I21" s="4">
        <f t="shared" si="1"/>
        <v>8</v>
      </c>
    </row>
    <row r="22" spans="1:11" x14ac:dyDescent="0.25">
      <c r="A22" s="4">
        <f t="shared" si="0"/>
        <v>9</v>
      </c>
      <c r="B22" s="931" t="s">
        <v>271</v>
      </c>
      <c r="C22" s="6">
        <v>591675.80900999985</v>
      </c>
      <c r="D22" s="52"/>
      <c r="E22" s="930"/>
      <c r="F22" s="6">
        <v>607340.29408999986</v>
      </c>
      <c r="G22" s="52"/>
      <c r="H22" s="930"/>
      <c r="I22" s="4">
        <f t="shared" si="1"/>
        <v>9</v>
      </c>
    </row>
    <row r="23" spans="1:11" x14ac:dyDescent="0.25">
      <c r="A23" s="4">
        <f t="shared" si="0"/>
        <v>10</v>
      </c>
      <c r="B23" s="931" t="s">
        <v>272</v>
      </c>
      <c r="C23" s="6">
        <v>591679.9927699999</v>
      </c>
      <c r="D23" s="52"/>
      <c r="E23" s="930"/>
      <c r="F23" s="6">
        <v>607344.47784999991</v>
      </c>
      <c r="G23" s="52"/>
      <c r="H23" s="930"/>
      <c r="I23" s="4">
        <f t="shared" si="1"/>
        <v>10</v>
      </c>
    </row>
    <row r="24" spans="1:11" x14ac:dyDescent="0.25">
      <c r="A24" s="4">
        <f t="shared" si="0"/>
        <v>11</v>
      </c>
      <c r="B24" s="931" t="s">
        <v>273</v>
      </c>
      <c r="C24" s="6">
        <v>590073.96240000008</v>
      </c>
      <c r="D24" s="52"/>
      <c r="E24" s="930"/>
      <c r="F24" s="6">
        <v>605738.44748000009</v>
      </c>
      <c r="G24" s="52"/>
      <c r="H24" s="930"/>
      <c r="I24" s="4">
        <f t="shared" si="1"/>
        <v>11</v>
      </c>
    </row>
    <row r="25" spans="1:11" x14ac:dyDescent="0.25">
      <c r="A25" s="4">
        <f t="shared" si="0"/>
        <v>12</v>
      </c>
      <c r="B25" s="931" t="s">
        <v>274</v>
      </c>
      <c r="C25" s="6">
        <v>591792.94709000003</v>
      </c>
      <c r="D25" s="52"/>
      <c r="E25" s="930"/>
      <c r="F25" s="6">
        <v>607457.43217000004</v>
      </c>
      <c r="G25" s="52"/>
      <c r="H25" s="930"/>
      <c r="I25" s="4">
        <f t="shared" si="1"/>
        <v>12</v>
      </c>
    </row>
    <row r="26" spans="1:11" x14ac:dyDescent="0.25">
      <c r="A26" s="4">
        <f t="shared" si="0"/>
        <v>13</v>
      </c>
      <c r="B26" s="629" t="s">
        <v>2042</v>
      </c>
      <c r="C26" s="875">
        <v>590179.4145999999</v>
      </c>
      <c r="D26" s="52"/>
      <c r="E26" s="929" t="s">
        <v>263</v>
      </c>
      <c r="F26" s="875">
        <v>605843.89967999991</v>
      </c>
      <c r="G26" s="53"/>
      <c r="H26" s="929" t="s">
        <v>275</v>
      </c>
      <c r="I26" s="4">
        <f t="shared" si="1"/>
        <v>13</v>
      </c>
      <c r="K26" s="276"/>
    </row>
    <row r="27" spans="1:11" x14ac:dyDescent="0.25">
      <c r="A27" s="4">
        <f t="shared" si="0"/>
        <v>14</v>
      </c>
      <c r="B27" s="277"/>
      <c r="C27" s="1287"/>
      <c r="D27" s="54"/>
      <c r="E27" s="924"/>
      <c r="G27" s="57"/>
      <c r="H27" s="924"/>
      <c r="I27" s="4">
        <f t="shared" si="1"/>
        <v>14</v>
      </c>
    </row>
    <row r="28" spans="1:11" x14ac:dyDescent="0.25">
      <c r="A28" s="4">
        <f t="shared" si="0"/>
        <v>15</v>
      </c>
      <c r="B28" s="277" t="s">
        <v>276</v>
      </c>
      <c r="C28" s="43">
        <f>SUM(C14:C26)</f>
        <v>7666714.4990599994</v>
      </c>
      <c r="D28" s="55"/>
      <c r="E28" s="932" t="s">
        <v>277</v>
      </c>
      <c r="F28" s="43">
        <f>SUM(F14:F26)</f>
        <v>7870352.8050999995</v>
      </c>
      <c r="G28" s="55"/>
      <c r="H28" s="932" t="s">
        <v>277</v>
      </c>
      <c r="I28" s="4">
        <f t="shared" si="1"/>
        <v>15</v>
      </c>
    </row>
    <row r="29" spans="1:11" x14ac:dyDescent="0.25">
      <c r="A29" s="4">
        <f t="shared" si="0"/>
        <v>16</v>
      </c>
      <c r="B29" s="116"/>
      <c r="C29" s="1079"/>
      <c r="D29" s="56"/>
      <c r="E29" s="116"/>
      <c r="F29" s="1079"/>
      <c r="G29" s="56"/>
      <c r="H29" s="116"/>
      <c r="I29" s="4">
        <f t="shared" si="1"/>
        <v>16</v>
      </c>
    </row>
    <row r="30" spans="1:11" x14ac:dyDescent="0.25">
      <c r="A30" s="4">
        <f t="shared" si="0"/>
        <v>17</v>
      </c>
      <c r="B30" s="277"/>
      <c r="C30" s="43"/>
      <c r="D30" s="55"/>
      <c r="E30" s="277"/>
      <c r="F30" s="43"/>
      <c r="G30" s="55"/>
      <c r="H30" s="277"/>
      <c r="I30" s="4">
        <f t="shared" si="1"/>
        <v>17</v>
      </c>
    </row>
    <row r="31" spans="1:11" x14ac:dyDescent="0.25">
      <c r="A31" s="4">
        <f t="shared" si="0"/>
        <v>18</v>
      </c>
      <c r="B31" s="277" t="s">
        <v>278</v>
      </c>
      <c r="C31" s="43">
        <f>C28/13</f>
        <v>589747.26915846148</v>
      </c>
      <c r="D31" s="55"/>
      <c r="E31" s="929" t="s">
        <v>279</v>
      </c>
      <c r="F31" s="43">
        <f>F28/13</f>
        <v>605411.75423846149</v>
      </c>
      <c r="G31" s="1086" t="s">
        <v>2062</v>
      </c>
      <c r="H31" s="929" t="s">
        <v>280</v>
      </c>
      <c r="I31" s="4">
        <f t="shared" si="1"/>
        <v>18</v>
      </c>
      <c r="J31" s="276"/>
      <c r="K31" s="276"/>
    </row>
    <row r="32" spans="1:11" x14ac:dyDescent="0.25">
      <c r="A32" s="4">
        <f t="shared" si="0"/>
        <v>19</v>
      </c>
      <c r="B32" s="116"/>
      <c r="C32" s="1080"/>
      <c r="D32" s="278"/>
      <c r="E32" s="116"/>
      <c r="F32" s="1080"/>
      <c r="G32" s="278"/>
      <c r="H32" s="116"/>
      <c r="I32" s="4">
        <f t="shared" si="1"/>
        <v>19</v>
      </c>
    </row>
    <row r="33" spans="1:7" x14ac:dyDescent="0.25">
      <c r="A33" s="4"/>
      <c r="C33" s="279"/>
      <c r="D33" s="279"/>
      <c r="F33" s="279"/>
      <c r="G33" s="279"/>
    </row>
    <row r="34" spans="1:7" x14ac:dyDescent="0.25">
      <c r="A34" s="4"/>
      <c r="C34" s="279"/>
      <c r="D34" s="279"/>
      <c r="F34" s="279"/>
      <c r="G34" s="279"/>
    </row>
    <row r="35" spans="1:7" x14ac:dyDescent="0.25">
      <c r="A35" s="1086" t="s">
        <v>2062</v>
      </c>
      <c r="B35" s="1" t="str">
        <f>'Stmt AD'!B48</f>
        <v xml:space="preserve">Items in BOLD do not tie to the TO6 Cycle 2 included in the Offer of Settlement filing per ER25-270-002 and/or the 2025 FERC Form 1 filed on April 17, 2026 due to AFUDC adjustments made in </v>
      </c>
      <c r="C35" s="279"/>
      <c r="D35" s="279"/>
      <c r="F35" s="279"/>
      <c r="G35" s="279"/>
    </row>
    <row r="36" spans="1:7" x14ac:dyDescent="0.25">
      <c r="B36" s="1" t="str">
        <f>'Stmt AD'!B49</f>
        <v>response to settlement negotiations and other adjustments from the Transmission Project Review process.</v>
      </c>
      <c r="C36" s="279"/>
      <c r="D36" s="279"/>
      <c r="F36" s="279"/>
      <c r="G36" s="279"/>
    </row>
    <row r="37" spans="1:7" ht="18.75" x14ac:dyDescent="0.25">
      <c r="A37" s="265">
        <v>1</v>
      </c>
      <c r="B37" s="31" t="s">
        <v>281</v>
      </c>
      <c r="C37" s="279"/>
      <c r="D37" s="279"/>
      <c r="F37" s="279"/>
      <c r="G37" s="279"/>
    </row>
    <row r="38" spans="1:7" x14ac:dyDescent="0.25">
      <c r="B38" s="31" t="s">
        <v>282</v>
      </c>
      <c r="C38" s="279"/>
      <c r="D38" s="279"/>
      <c r="F38" s="279"/>
      <c r="G38" s="279"/>
    </row>
    <row r="39" spans="1:7" x14ac:dyDescent="0.25">
      <c r="C39" s="279"/>
      <c r="D39" s="279"/>
      <c r="F39" s="279"/>
      <c r="G39" s="279"/>
    </row>
    <row r="40" spans="1:7" x14ac:dyDescent="0.25">
      <c r="C40" s="279"/>
      <c r="D40" s="279"/>
      <c r="F40" s="279"/>
      <c r="G40" s="279"/>
    </row>
    <row r="41" spans="1:7" x14ac:dyDescent="0.25">
      <c r="C41" s="279"/>
      <c r="D41" s="279"/>
      <c r="F41" s="279"/>
      <c r="G41" s="279"/>
    </row>
    <row r="42" spans="1:7" x14ac:dyDescent="0.25">
      <c r="C42" s="279"/>
      <c r="D42" s="279"/>
      <c r="F42" s="279"/>
      <c r="G42" s="279"/>
    </row>
    <row r="43" spans="1:7" x14ac:dyDescent="0.25">
      <c r="C43" s="279"/>
      <c r="D43" s="279"/>
      <c r="F43" s="279"/>
      <c r="G43" s="279"/>
    </row>
    <row r="44" spans="1:7" x14ac:dyDescent="0.25">
      <c r="C44" s="279"/>
      <c r="D44" s="279"/>
      <c r="F44" s="279"/>
      <c r="G44" s="279"/>
    </row>
    <row r="45" spans="1:7" x14ac:dyDescent="0.25">
      <c r="C45" s="279"/>
      <c r="D45" s="279"/>
      <c r="F45" s="279"/>
      <c r="G45" s="279"/>
    </row>
    <row r="46" spans="1:7" x14ac:dyDescent="0.25">
      <c r="C46" s="279"/>
      <c r="D46" s="279"/>
      <c r="F46" s="279"/>
      <c r="G46" s="279"/>
    </row>
    <row r="47" spans="1:7" x14ac:dyDescent="0.25">
      <c r="C47" s="279"/>
      <c r="D47" s="279"/>
      <c r="F47" s="279"/>
      <c r="G47" s="279"/>
    </row>
    <row r="48" spans="1:7" x14ac:dyDescent="0.25">
      <c r="C48" s="279"/>
      <c r="D48" s="279"/>
      <c r="F48" s="279"/>
      <c r="G48" s="279"/>
    </row>
    <row r="49" spans="3:7" x14ac:dyDescent="0.25">
      <c r="C49" s="279"/>
      <c r="D49" s="279"/>
      <c r="F49" s="279"/>
      <c r="G49" s="279"/>
    </row>
  </sheetData>
  <mergeCells count="6">
    <mergeCell ref="B8:H8"/>
    <mergeCell ref="B5:H5"/>
    <mergeCell ref="B2:H2"/>
    <mergeCell ref="B3:H3"/>
    <mergeCell ref="B4:H4"/>
    <mergeCell ref="B6:H6"/>
  </mergeCells>
  <printOptions horizontalCentered="1"/>
  <pageMargins left="0.5" right="0.5" top="0.5" bottom="0.5" header="0.25" footer="0.25"/>
  <pageSetup scale="63" orientation="landscape" r:id="rId1"/>
  <headerFooter scaleWithDoc="0">
    <oddFooter>&amp;C&amp;"Times New Roman,Regular"&amp;10&amp;A</oddFooter>
  </headerFooter>
  <customProperties>
    <customPr name="_pios_i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2:F37"/>
  <sheetViews>
    <sheetView topLeftCell="A4" zoomScale="80" zoomScaleNormal="80" workbookViewId="0">
      <selection activeCell="B18" sqref="B18:E20"/>
    </sheetView>
  </sheetViews>
  <sheetFormatPr defaultColWidth="9.28515625" defaultRowHeight="15.75" x14ac:dyDescent="0.25"/>
  <cols>
    <col min="1" max="1" width="5.28515625" style="217" customWidth="1"/>
    <col min="2" max="2" width="35.28515625" style="1" customWidth="1"/>
    <col min="3" max="3" width="18.5703125" style="1" customWidth="1"/>
    <col min="4" max="4" width="3.42578125" style="1" customWidth="1"/>
    <col min="5" max="5" width="62.5703125" style="1" customWidth="1"/>
    <col min="6" max="6" width="5.28515625" style="217" customWidth="1"/>
    <col min="7" max="7" width="11" style="1" customWidth="1"/>
    <col min="8" max="8" width="7.28515625" style="1" customWidth="1"/>
    <col min="9" max="9" width="9.28515625" style="1" customWidth="1"/>
    <col min="10" max="10" width="14" style="1" customWidth="1"/>
    <col min="11" max="11" width="13.42578125" style="1" customWidth="1"/>
    <col min="12" max="16384" width="9.28515625" style="1"/>
  </cols>
  <sheetData>
    <row r="2" spans="1:6" x14ac:dyDescent="0.25">
      <c r="B2" s="1316" t="s">
        <v>0</v>
      </c>
      <c r="C2" s="1316"/>
      <c r="D2" s="1316"/>
      <c r="E2" s="1316"/>
    </row>
    <row r="3" spans="1:6" x14ac:dyDescent="0.25">
      <c r="B3" s="1316" t="s">
        <v>644</v>
      </c>
      <c r="C3" s="1316"/>
      <c r="D3" s="1316"/>
      <c r="E3" s="1316"/>
    </row>
    <row r="4" spans="1:6" x14ac:dyDescent="0.25">
      <c r="B4" s="1316" t="s">
        <v>728</v>
      </c>
      <c r="C4" s="1316"/>
      <c r="D4" s="1316"/>
      <c r="E4" s="1316"/>
    </row>
    <row r="5" spans="1:6" x14ac:dyDescent="0.25">
      <c r="B5" s="1316" t="str">
        <f>'AD-1'!B5</f>
        <v>BASE PERIOD / TRUE UP PERIOD - 12/31/2025 PER BOOK</v>
      </c>
      <c r="C5" s="1316"/>
      <c r="D5" s="1316"/>
      <c r="E5" s="1316"/>
    </row>
    <row r="6" spans="1:6" x14ac:dyDescent="0.25">
      <c r="B6" s="1312" t="s">
        <v>4</v>
      </c>
      <c r="C6" s="1312"/>
      <c r="D6" s="1312"/>
      <c r="E6" s="1312"/>
    </row>
    <row r="7" spans="1:6" x14ac:dyDescent="0.25">
      <c r="B7" s="266"/>
      <c r="C7" s="266"/>
      <c r="D7" s="266"/>
      <c r="E7" s="266"/>
    </row>
    <row r="8" spans="1:6" x14ac:dyDescent="0.25">
      <c r="B8" s="1316" t="s">
        <v>338</v>
      </c>
      <c r="C8" s="1316"/>
      <c r="D8" s="1316"/>
      <c r="E8" s="1316"/>
    </row>
    <row r="10" spans="1:6" x14ac:dyDescent="0.25">
      <c r="B10" s="924"/>
      <c r="C10" s="432" t="s">
        <v>453</v>
      </c>
      <c r="D10" s="1297"/>
      <c r="E10" s="962"/>
    </row>
    <row r="11" spans="1:6" x14ac:dyDescent="0.25">
      <c r="A11" s="4"/>
      <c r="B11" s="269"/>
      <c r="C11" s="297" t="s">
        <v>729</v>
      </c>
      <c r="D11" s="273"/>
      <c r="E11" s="926"/>
      <c r="F11" s="4"/>
    </row>
    <row r="12" spans="1:6" x14ac:dyDescent="0.25">
      <c r="A12" s="4" t="s">
        <v>5</v>
      </c>
      <c r="B12" s="269"/>
      <c r="C12" s="297" t="s">
        <v>291</v>
      </c>
      <c r="D12" s="273"/>
      <c r="E12" s="926"/>
      <c r="F12" s="4" t="s">
        <v>5</v>
      </c>
    </row>
    <row r="13" spans="1:6" x14ac:dyDescent="0.25">
      <c r="A13" s="4" t="s">
        <v>6</v>
      </c>
      <c r="B13" s="274" t="s">
        <v>260</v>
      </c>
      <c r="C13" s="305" t="s">
        <v>646</v>
      </c>
      <c r="D13" s="275"/>
      <c r="E13" s="274" t="s">
        <v>8</v>
      </c>
      <c r="F13" s="4" t="s">
        <v>6</v>
      </c>
    </row>
    <row r="14" spans="1:6" x14ac:dyDescent="0.25">
      <c r="A14" s="4"/>
      <c r="B14" s="272"/>
      <c r="C14" s="1289"/>
      <c r="D14" s="1293"/>
      <c r="E14" s="963"/>
      <c r="F14" s="4"/>
    </row>
    <row r="15" spans="1:6" x14ac:dyDescent="0.25">
      <c r="A15" s="4">
        <v>1</v>
      </c>
      <c r="B15" s="1004" t="str">
        <f>'AG-1'!B26</f>
        <v>Dec-25</v>
      </c>
      <c r="C15" s="119">
        <v>0</v>
      </c>
      <c r="D15" s="1086" t="s">
        <v>2062</v>
      </c>
      <c r="E15" s="929" t="s">
        <v>730</v>
      </c>
      <c r="F15" s="4">
        <f>A15</f>
        <v>1</v>
      </c>
    </row>
    <row r="16" spans="1:6" x14ac:dyDescent="0.25">
      <c r="A16" s="4">
        <f>A15+1</f>
        <v>2</v>
      </c>
      <c r="B16" s="116"/>
      <c r="C16" s="599"/>
      <c r="D16" s="61"/>
      <c r="E16" s="92"/>
      <c r="F16" s="4">
        <f>F15+1</f>
        <v>2</v>
      </c>
    </row>
    <row r="17" spans="1:6" x14ac:dyDescent="0.25">
      <c r="A17" s="4"/>
      <c r="B17" s="31"/>
      <c r="C17" s="29"/>
      <c r="D17" s="29"/>
      <c r="E17" s="31"/>
    </row>
    <row r="18" spans="1:6" x14ac:dyDescent="0.25">
      <c r="A18" s="1086" t="s">
        <v>2062</v>
      </c>
      <c r="B18" s="1362" t="s">
        <v>2130</v>
      </c>
      <c r="C18" s="1362"/>
      <c r="D18" s="1362"/>
      <c r="E18" s="1362"/>
    </row>
    <row r="19" spans="1:6" x14ac:dyDescent="0.25">
      <c r="B19" s="1362"/>
      <c r="C19" s="1362"/>
      <c r="D19" s="1362"/>
      <c r="E19" s="1362"/>
    </row>
    <row r="20" spans="1:6" x14ac:dyDescent="0.25">
      <c r="B20" s="1362"/>
      <c r="C20" s="1362"/>
      <c r="D20" s="1362"/>
      <c r="E20" s="1362"/>
    </row>
    <row r="21" spans="1:6" x14ac:dyDescent="0.25">
      <c r="B21" s="31"/>
      <c r="C21" s="31"/>
      <c r="D21" s="31"/>
      <c r="E21" s="31"/>
    </row>
    <row r="22" spans="1:6" x14ac:dyDescent="0.25">
      <c r="B22" s="31"/>
      <c r="C22" s="31"/>
      <c r="D22" s="31"/>
      <c r="E22" s="31"/>
    </row>
    <row r="23" spans="1:6" x14ac:dyDescent="0.25">
      <c r="B23" s="31"/>
      <c r="C23" s="31"/>
      <c r="D23" s="31"/>
      <c r="E23" s="31"/>
    </row>
    <row r="24" spans="1:6" x14ac:dyDescent="0.25">
      <c r="B24" s="31"/>
      <c r="C24" s="31"/>
      <c r="D24" s="31"/>
      <c r="E24" s="31"/>
    </row>
    <row r="25" spans="1:6" x14ac:dyDescent="0.25">
      <c r="B25" s="31"/>
      <c r="C25" s="31"/>
      <c r="D25" s="31"/>
      <c r="E25" s="31"/>
    </row>
    <row r="26" spans="1:6" x14ac:dyDescent="0.25">
      <c r="B26" s="31"/>
      <c r="C26" s="31"/>
      <c r="D26" s="31"/>
      <c r="E26" s="31"/>
    </row>
    <row r="27" spans="1:6" x14ac:dyDescent="0.25">
      <c r="B27" s="31"/>
      <c r="C27" s="31"/>
      <c r="D27" s="31"/>
      <c r="E27" s="31"/>
    </row>
    <row r="28" spans="1:6" x14ac:dyDescent="0.25">
      <c r="B28" s="31"/>
      <c r="C28" s="31"/>
      <c r="D28" s="31"/>
      <c r="E28" s="31"/>
    </row>
    <row r="29" spans="1:6" x14ac:dyDescent="0.25">
      <c r="B29" s="31"/>
      <c r="C29" s="31"/>
      <c r="D29" s="31"/>
      <c r="E29" s="31"/>
    </row>
    <row r="30" spans="1:6" x14ac:dyDescent="0.25">
      <c r="B30" s="31"/>
      <c r="C30" s="31"/>
      <c r="D30" s="31"/>
      <c r="E30" s="31"/>
    </row>
    <row r="31" spans="1:6" s="31" customFormat="1" x14ac:dyDescent="0.25">
      <c r="A31" s="4"/>
      <c r="F31" s="4"/>
    </row>
    <row r="32" spans="1:6" s="31" customFormat="1" x14ac:dyDescent="0.25">
      <c r="A32" s="4"/>
      <c r="F32" s="4"/>
    </row>
    <row r="33" spans="1:6" s="31" customFormat="1" x14ac:dyDescent="0.25">
      <c r="A33" s="4"/>
      <c r="F33" s="4"/>
    </row>
    <row r="34" spans="1:6" s="31" customFormat="1" x14ac:dyDescent="0.25">
      <c r="A34" s="4"/>
      <c r="F34" s="4"/>
    </row>
    <row r="35" spans="1:6" s="31" customFormat="1" x14ac:dyDescent="0.25">
      <c r="A35" s="4"/>
      <c r="F35" s="4"/>
    </row>
    <row r="36" spans="1:6" s="31" customFormat="1" x14ac:dyDescent="0.25">
      <c r="A36" s="4"/>
      <c r="F36" s="4"/>
    </row>
    <row r="37" spans="1:6" s="31" customFormat="1" x14ac:dyDescent="0.25">
      <c r="A37" s="4"/>
      <c r="F37" s="4"/>
    </row>
  </sheetData>
  <mergeCells count="7">
    <mergeCell ref="B18:E20"/>
    <mergeCell ref="B8:E8"/>
    <mergeCell ref="B2:E2"/>
    <mergeCell ref="B3:E3"/>
    <mergeCell ref="B4:E4"/>
    <mergeCell ref="B5:E5"/>
    <mergeCell ref="B6:E6"/>
  </mergeCells>
  <printOptions horizontalCentered="1"/>
  <pageMargins left="0.5" right="0.5" top="0.5" bottom="0.5" header="0.25" footer="0.25"/>
  <pageSetup scale="97" orientation="landscape" r:id="rId1"/>
  <headerFooter scaleWithDoc="0">
    <oddFooter>&amp;C&amp;"Times New Roman,Regular"&amp;10&amp;A</oddFooter>
  </headerFooter>
  <customProperties>
    <customPr name="_pios_id" r:id="rId2"/>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H21"/>
  <sheetViews>
    <sheetView zoomScale="80" zoomScaleNormal="80" workbookViewId="0">
      <selection activeCell="B6" sqref="B6"/>
    </sheetView>
  </sheetViews>
  <sheetFormatPr defaultColWidth="8.7109375" defaultRowHeight="15.75" x14ac:dyDescent="0.25"/>
  <cols>
    <col min="1" max="1" width="5.28515625" style="4" customWidth="1"/>
    <col min="2" max="2" width="15.28515625" style="4" customWidth="1"/>
    <col min="3" max="3" width="50.7109375" style="31" customWidth="1"/>
    <col min="4" max="4" width="16.7109375" style="4" customWidth="1"/>
    <col min="5" max="5" width="5.28515625" style="31" customWidth="1"/>
    <col min="6" max="16384" width="8.7109375" style="31"/>
  </cols>
  <sheetData>
    <row r="1" spans="1:8" x14ac:dyDescent="0.25">
      <c r="B1" s="217"/>
      <c r="C1" s="217"/>
      <c r="D1" s="217"/>
      <c r="E1" s="217"/>
      <c r="F1" s="217"/>
    </row>
    <row r="2" spans="1:8" x14ac:dyDescent="0.25">
      <c r="B2" s="1316" t="s">
        <v>0</v>
      </c>
      <c r="C2" s="1324"/>
      <c r="D2" s="1324"/>
      <c r="E2" s="217"/>
      <c r="F2" s="217"/>
      <c r="G2" s="217"/>
      <c r="H2" s="217"/>
    </row>
    <row r="3" spans="1:8" x14ac:dyDescent="0.25">
      <c r="B3" s="1316" t="s">
        <v>681</v>
      </c>
      <c r="C3" s="1324"/>
      <c r="D3" s="1324"/>
      <c r="E3" s="217"/>
      <c r="F3" s="217"/>
      <c r="G3" s="217"/>
      <c r="H3" s="217"/>
    </row>
    <row r="4" spans="1:8" x14ac:dyDescent="0.25">
      <c r="B4" s="1316" t="s">
        <v>1509</v>
      </c>
      <c r="C4" s="1324"/>
      <c r="D4" s="1324"/>
      <c r="E4" s="217"/>
      <c r="F4" s="217"/>
      <c r="G4" s="217"/>
      <c r="H4" s="217"/>
    </row>
    <row r="5" spans="1:8" x14ac:dyDescent="0.25">
      <c r="B5" s="1314" t="s">
        <v>2075</v>
      </c>
      <c r="C5" s="1330"/>
      <c r="D5" s="1330"/>
      <c r="E5" s="217"/>
      <c r="F5" s="217"/>
      <c r="G5" s="217"/>
      <c r="H5" s="217"/>
    </row>
    <row r="7" spans="1:8" x14ac:dyDescent="0.25">
      <c r="A7" s="4" t="s">
        <v>5</v>
      </c>
      <c r="B7" s="943" t="s">
        <v>453</v>
      </c>
      <c r="C7" s="1005"/>
      <c r="D7" s="1006" t="s">
        <v>731</v>
      </c>
      <c r="E7" s="4" t="s">
        <v>5</v>
      </c>
    </row>
    <row r="8" spans="1:8" s="1" customFormat="1" x14ac:dyDescent="0.25">
      <c r="A8" s="4" t="s">
        <v>6</v>
      </c>
      <c r="B8" s="274" t="s">
        <v>732</v>
      </c>
      <c r="C8" s="1007" t="s">
        <v>733</v>
      </c>
      <c r="D8" s="436" t="s">
        <v>734</v>
      </c>
      <c r="E8" s="4" t="s">
        <v>6</v>
      </c>
    </row>
    <row r="9" spans="1:8" x14ac:dyDescent="0.25">
      <c r="B9" s="932"/>
      <c r="D9" s="932"/>
      <c r="E9" s="4"/>
    </row>
    <row r="10" spans="1:8" x14ac:dyDescent="0.25">
      <c r="A10" s="4">
        <v>1</v>
      </c>
      <c r="B10" s="1008"/>
      <c r="C10" s="1009" t="s">
        <v>735</v>
      </c>
      <c r="D10" s="1008"/>
      <c r="E10" s="4">
        <f>A10</f>
        <v>1</v>
      </c>
    </row>
    <row r="11" spans="1:8" x14ac:dyDescent="0.25">
      <c r="A11" s="4">
        <f>A10+1</f>
        <v>2</v>
      </c>
      <c r="B11" s="932" t="s">
        <v>736</v>
      </c>
      <c r="C11" s="32" t="s">
        <v>737</v>
      </c>
      <c r="D11" s="1010" t="s">
        <v>738</v>
      </c>
      <c r="E11" s="4">
        <f>E10+1</f>
        <v>2</v>
      </c>
    </row>
    <row r="12" spans="1:8" x14ac:dyDescent="0.25">
      <c r="A12" s="4">
        <f t="shared" ref="A12:A15" si="0">A11+1</f>
        <v>3</v>
      </c>
      <c r="B12" s="952" t="s">
        <v>739</v>
      </c>
      <c r="C12" s="1011" t="s">
        <v>740</v>
      </c>
      <c r="D12" s="1012" t="s">
        <v>741</v>
      </c>
      <c r="E12" s="4">
        <f t="shared" ref="E12:E16" si="1">E11+1</f>
        <v>3</v>
      </c>
    </row>
    <row r="13" spans="1:8" x14ac:dyDescent="0.25">
      <c r="A13" s="4">
        <f t="shared" si="0"/>
        <v>4</v>
      </c>
      <c r="B13" s="932"/>
      <c r="D13" s="932"/>
      <c r="E13" s="4">
        <f t="shared" si="1"/>
        <v>4</v>
      </c>
    </row>
    <row r="14" spans="1:8" x14ac:dyDescent="0.25">
      <c r="A14" s="4">
        <f t="shared" si="0"/>
        <v>5</v>
      </c>
      <c r="B14" s="952"/>
      <c r="C14" s="1013" t="s">
        <v>742</v>
      </c>
      <c r="D14" s="952"/>
      <c r="E14" s="4">
        <f t="shared" si="1"/>
        <v>5</v>
      </c>
    </row>
    <row r="15" spans="1:8" x14ac:dyDescent="0.25">
      <c r="A15" s="4">
        <f t="shared" si="0"/>
        <v>6</v>
      </c>
      <c r="B15" s="952" t="s">
        <v>743</v>
      </c>
      <c r="C15" s="1011" t="s">
        <v>744</v>
      </c>
      <c r="D15" s="1012" t="s">
        <v>745</v>
      </c>
      <c r="E15" s="4">
        <f t="shared" si="1"/>
        <v>6</v>
      </c>
    </row>
    <row r="16" spans="1:8" x14ac:dyDescent="0.25">
      <c r="A16" s="4">
        <f>A15+1</f>
        <v>7</v>
      </c>
      <c r="B16" s="418"/>
      <c r="C16" s="917"/>
      <c r="D16" s="437"/>
      <c r="E16" s="4">
        <f t="shared" si="1"/>
        <v>7</v>
      </c>
    </row>
    <row r="17" spans="1:4" x14ac:dyDescent="0.25">
      <c r="D17" s="259"/>
    </row>
    <row r="18" spans="1:4" ht="18.75" x14ac:dyDescent="0.25">
      <c r="A18" s="265"/>
      <c r="B18" s="31" t="s">
        <v>746</v>
      </c>
    </row>
    <row r="19" spans="1:4" x14ac:dyDescent="0.25">
      <c r="B19" s="31" t="s">
        <v>747</v>
      </c>
    </row>
    <row r="20" spans="1:4" x14ac:dyDescent="0.25">
      <c r="B20" s="32" t="s">
        <v>748</v>
      </c>
    </row>
    <row r="21" spans="1:4" x14ac:dyDescent="0.25">
      <c r="B21" s="31" t="s">
        <v>749</v>
      </c>
    </row>
  </sheetData>
  <mergeCells count="4">
    <mergeCell ref="B2:D2"/>
    <mergeCell ref="B3:D3"/>
    <mergeCell ref="B4:D4"/>
    <mergeCell ref="B5:D5"/>
  </mergeCells>
  <printOptions horizontalCentered="1"/>
  <pageMargins left="0.5" right="0.5" top="0.5" bottom="0.5" header="0.25" footer="0.25"/>
  <pageSetup orientation="portrait" r:id="rId1"/>
  <headerFooter scaleWithDoc="0">
    <oddFooter>&amp;C&amp;"Times New Roman,Regular"&amp;10Intangible Plant Amortization Period
&amp;A</oddFooter>
  </headerFooter>
  <customProperties>
    <customPr name="_pios_id" r:id="rId2"/>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2:E37"/>
  <sheetViews>
    <sheetView zoomScale="80" zoomScaleNormal="80" workbookViewId="0">
      <selection activeCell="D25" sqref="D25"/>
    </sheetView>
  </sheetViews>
  <sheetFormatPr defaultColWidth="9.28515625" defaultRowHeight="15.75" x14ac:dyDescent="0.25"/>
  <cols>
    <col min="1" max="1" width="5.28515625" style="217" customWidth="1"/>
    <col min="2" max="2" width="35.28515625" style="1" customWidth="1"/>
    <col min="3" max="3" width="18.5703125" style="1" customWidth="1"/>
    <col min="4" max="4" width="62.5703125" style="1" customWidth="1"/>
    <col min="5" max="5" width="5.28515625" style="217" customWidth="1"/>
    <col min="6" max="6" width="11" style="1" customWidth="1"/>
    <col min="7" max="7" width="7.28515625" style="1" customWidth="1"/>
    <col min="8" max="8" width="9.28515625" style="1" customWidth="1"/>
    <col min="9" max="9" width="14" style="1" customWidth="1"/>
    <col min="10" max="10" width="13.42578125" style="1" customWidth="1"/>
    <col min="11" max="16384" width="9.28515625" style="1"/>
  </cols>
  <sheetData>
    <row r="2" spans="1:5" x14ac:dyDescent="0.25">
      <c r="B2" s="1316" t="s">
        <v>0</v>
      </c>
      <c r="C2" s="1316"/>
      <c r="D2" s="1316"/>
    </row>
    <row r="3" spans="1:5" x14ac:dyDescent="0.25">
      <c r="B3" s="1316" t="s">
        <v>644</v>
      </c>
      <c r="C3" s="1316"/>
      <c r="D3" s="1316"/>
    </row>
    <row r="4" spans="1:5" x14ac:dyDescent="0.25">
      <c r="B4" s="1316" t="s">
        <v>728</v>
      </c>
      <c r="C4" s="1316"/>
      <c r="D4" s="1316"/>
    </row>
    <row r="5" spans="1:5" x14ac:dyDescent="0.25">
      <c r="B5" s="1316" t="str">
        <f>'AD-1'!B5</f>
        <v>BASE PERIOD / TRUE UP PERIOD - 12/31/2025 PER BOOK</v>
      </c>
      <c r="C5" s="1316"/>
      <c r="D5" s="1316"/>
    </row>
    <row r="6" spans="1:5" x14ac:dyDescent="0.25">
      <c r="B6" s="1312" t="s">
        <v>4</v>
      </c>
      <c r="C6" s="1312"/>
      <c r="D6" s="1312"/>
    </row>
    <row r="7" spans="1:5" x14ac:dyDescent="0.25">
      <c r="B7" s="266"/>
      <c r="C7" s="266"/>
      <c r="D7" s="266"/>
    </row>
    <row r="8" spans="1:5" x14ac:dyDescent="0.25">
      <c r="B8" s="1316" t="s">
        <v>342</v>
      </c>
      <c r="C8" s="1316"/>
      <c r="D8" s="1316"/>
    </row>
    <row r="10" spans="1:5" x14ac:dyDescent="0.25">
      <c r="B10" s="924"/>
      <c r="C10" s="972" t="s">
        <v>453</v>
      </c>
      <c r="D10" s="962"/>
      <c r="E10" s="4"/>
    </row>
    <row r="11" spans="1:5" x14ac:dyDescent="0.25">
      <c r="A11" s="4"/>
      <c r="B11" s="269"/>
      <c r="C11" s="269" t="s">
        <v>750</v>
      </c>
      <c r="D11" s="926"/>
      <c r="E11" s="4"/>
    </row>
    <row r="12" spans="1:5" x14ac:dyDescent="0.25">
      <c r="A12" s="4" t="s">
        <v>5</v>
      </c>
      <c r="B12" s="269"/>
      <c r="C12" s="269" t="s">
        <v>291</v>
      </c>
      <c r="D12" s="926"/>
      <c r="E12" s="4" t="s">
        <v>5</v>
      </c>
    </row>
    <row r="13" spans="1:5" x14ac:dyDescent="0.25">
      <c r="A13" s="4" t="s">
        <v>6</v>
      </c>
      <c r="B13" s="274" t="s">
        <v>260</v>
      </c>
      <c r="C13" s="274" t="s">
        <v>646</v>
      </c>
      <c r="D13" s="274" t="s">
        <v>8</v>
      </c>
      <c r="E13" s="4" t="s">
        <v>6</v>
      </c>
    </row>
    <row r="14" spans="1:5" x14ac:dyDescent="0.25">
      <c r="A14" s="4"/>
      <c r="B14" s="272"/>
      <c r="C14" s="960"/>
      <c r="D14" s="963"/>
      <c r="E14" s="4"/>
    </row>
    <row r="15" spans="1:5" x14ac:dyDescent="0.25">
      <c r="A15" s="4">
        <v>1</v>
      </c>
      <c r="B15" s="1004" t="str">
        <f>'AJ-2'!B15</f>
        <v>Dec-25</v>
      </c>
      <c r="C15" s="231">
        <v>24038.51584</v>
      </c>
      <c r="D15" s="938" t="s">
        <v>751</v>
      </c>
      <c r="E15" s="4">
        <f>A15</f>
        <v>1</v>
      </c>
    </row>
    <row r="16" spans="1:5" x14ac:dyDescent="0.25">
      <c r="A16" s="4">
        <f>A15+1</f>
        <v>2</v>
      </c>
      <c r="B16" s="116"/>
      <c r="C16" s="92"/>
      <c r="D16" s="92"/>
      <c r="E16" s="4">
        <f>E15+1</f>
        <v>2</v>
      </c>
    </row>
    <row r="17" spans="1:5" x14ac:dyDescent="0.25">
      <c r="A17" s="4"/>
      <c r="B17" s="31"/>
      <c r="C17" s="29"/>
      <c r="D17" s="31"/>
      <c r="E17" s="4"/>
    </row>
    <row r="18" spans="1:5" x14ac:dyDescent="0.25">
      <c r="B18" s="31"/>
      <c r="C18" s="31"/>
      <c r="D18" s="31"/>
    </row>
    <row r="19" spans="1:5" x14ac:dyDescent="0.25">
      <c r="B19" s="31"/>
      <c r="C19" s="31"/>
      <c r="D19" s="31"/>
    </row>
    <row r="20" spans="1:5" x14ac:dyDescent="0.25">
      <c r="B20" s="31"/>
      <c r="C20" s="31"/>
      <c r="D20" s="31"/>
    </row>
    <row r="21" spans="1:5" x14ac:dyDescent="0.25">
      <c r="B21" s="31"/>
      <c r="C21" s="31"/>
      <c r="D21" s="31"/>
    </row>
    <row r="22" spans="1:5" x14ac:dyDescent="0.25">
      <c r="B22" s="31"/>
      <c r="C22" s="31"/>
      <c r="D22" s="31"/>
    </row>
    <row r="23" spans="1:5" x14ac:dyDescent="0.25">
      <c r="B23" s="31"/>
      <c r="C23" s="31"/>
      <c r="D23" s="31"/>
    </row>
    <row r="24" spans="1:5" x14ac:dyDescent="0.25">
      <c r="B24" s="31"/>
      <c r="C24" s="31"/>
      <c r="D24" s="31"/>
    </row>
    <row r="25" spans="1:5" x14ac:dyDescent="0.25">
      <c r="B25" s="31"/>
      <c r="C25" s="31"/>
      <c r="D25" s="31"/>
    </row>
    <row r="26" spans="1:5" x14ac:dyDescent="0.25">
      <c r="B26" s="31"/>
      <c r="C26" s="31"/>
      <c r="D26" s="31"/>
    </row>
    <row r="27" spans="1:5" x14ac:dyDescent="0.25">
      <c r="B27" s="31"/>
      <c r="C27" s="31"/>
      <c r="D27" s="31"/>
    </row>
    <row r="28" spans="1:5" x14ac:dyDescent="0.25">
      <c r="B28" s="31"/>
      <c r="C28" s="31"/>
      <c r="D28" s="31"/>
    </row>
    <row r="29" spans="1:5" x14ac:dyDescent="0.25">
      <c r="B29" s="31"/>
      <c r="C29" s="31"/>
      <c r="D29" s="31"/>
    </row>
    <row r="30" spans="1:5" x14ac:dyDescent="0.25">
      <c r="B30" s="31"/>
      <c r="C30" s="31"/>
      <c r="D30" s="31"/>
    </row>
    <row r="31" spans="1:5" s="31" customFormat="1" x14ac:dyDescent="0.25">
      <c r="A31" s="4"/>
      <c r="E31" s="4"/>
    </row>
    <row r="32" spans="1:5" s="31" customFormat="1" x14ac:dyDescent="0.25">
      <c r="A32" s="4"/>
      <c r="E32" s="4"/>
    </row>
    <row r="33" spans="1:5" s="31" customFormat="1" x14ac:dyDescent="0.25">
      <c r="A33" s="4"/>
      <c r="E33" s="4"/>
    </row>
    <row r="34" spans="1:5" s="31" customFormat="1" x14ac:dyDescent="0.25">
      <c r="A34" s="4"/>
      <c r="E34" s="4"/>
    </row>
    <row r="35" spans="1:5" s="31" customFormat="1" x14ac:dyDescent="0.25">
      <c r="A35" s="4"/>
      <c r="E35" s="4"/>
    </row>
    <row r="36" spans="1:5" s="31" customFormat="1" x14ac:dyDescent="0.25">
      <c r="A36" s="4"/>
      <c r="E36" s="4"/>
    </row>
    <row r="37" spans="1:5" s="31" customFormat="1" x14ac:dyDescent="0.25">
      <c r="A37" s="4"/>
      <c r="E37" s="4"/>
    </row>
  </sheetData>
  <mergeCells count="6">
    <mergeCell ref="B8:D8"/>
    <mergeCell ref="B2:D2"/>
    <mergeCell ref="B3:D3"/>
    <mergeCell ref="B4:D4"/>
    <mergeCell ref="B5:D5"/>
    <mergeCell ref="B6:D6"/>
  </mergeCells>
  <printOptions horizontalCentered="1"/>
  <pageMargins left="0.5" right="0.5" top="0.5" bottom="0.5" header="0.25" footer="0.25"/>
  <pageSetup orientation="landscape" r:id="rId1"/>
  <headerFooter scaleWithDoc="0">
    <oddFooter>&amp;C&amp;"Times New Roman,Regular"&amp;10&amp;A</oddFooter>
  </headerFooter>
  <customProperties>
    <customPr name="_pios_id" r:id="rId2"/>
  </customPropertie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2:P37"/>
  <sheetViews>
    <sheetView zoomScale="80" zoomScaleNormal="80" workbookViewId="0">
      <selection activeCell="M23" sqref="M23"/>
    </sheetView>
  </sheetViews>
  <sheetFormatPr defaultColWidth="8.7109375" defaultRowHeight="15.75" x14ac:dyDescent="0.25"/>
  <cols>
    <col min="1" max="1" width="5.28515625" style="4" customWidth="1"/>
    <col min="2" max="2" width="15.28515625" style="31" customWidth="1"/>
    <col min="3" max="3" width="25.7109375" style="31" customWidth="1"/>
    <col min="4" max="6" width="16.7109375" style="4" customWidth="1"/>
    <col min="7" max="7" width="5.28515625" style="4" customWidth="1"/>
    <col min="8" max="8" width="10.7109375" style="31" customWidth="1"/>
    <col min="9" max="9" width="8.28515625" style="31" bestFit="1" customWidth="1"/>
    <col min="10" max="16384" width="8.7109375" style="31"/>
  </cols>
  <sheetData>
    <row r="2" spans="1:9" x14ac:dyDescent="0.25">
      <c r="B2" s="1316" t="s">
        <v>0</v>
      </c>
      <c r="C2" s="1316"/>
      <c r="D2" s="1316"/>
      <c r="E2" s="1316"/>
      <c r="F2" s="1316"/>
    </row>
    <row r="3" spans="1:9" x14ac:dyDescent="0.25">
      <c r="B3" s="1316" t="s">
        <v>681</v>
      </c>
      <c r="C3" s="1316"/>
      <c r="D3" s="1316"/>
      <c r="E3" s="1316"/>
      <c r="F3" s="1316"/>
    </row>
    <row r="4" spans="1:9" x14ac:dyDescent="0.25">
      <c r="B4" s="1316" t="s">
        <v>1510</v>
      </c>
      <c r="C4" s="1316"/>
      <c r="D4" s="1316"/>
      <c r="E4" s="1316"/>
      <c r="F4" s="1316"/>
    </row>
    <row r="5" spans="1:9" x14ac:dyDescent="0.25">
      <c r="B5" s="1314" t="s">
        <v>2075</v>
      </c>
      <c r="C5" s="1314"/>
      <c r="D5" s="1314"/>
      <c r="E5" s="1314"/>
      <c r="F5" s="1314"/>
    </row>
    <row r="6" spans="1:9" x14ac:dyDescent="0.25">
      <c r="B6" s="1314" t="s">
        <v>2076</v>
      </c>
      <c r="C6" s="1314"/>
      <c r="D6" s="1314"/>
      <c r="E6" s="1314"/>
      <c r="F6" s="1314"/>
    </row>
    <row r="7" spans="1:9" x14ac:dyDescent="0.25">
      <c r="B7" s="4"/>
    </row>
    <row r="8" spans="1:9" x14ac:dyDescent="0.25">
      <c r="B8" s="1316" t="s">
        <v>2078</v>
      </c>
      <c r="C8" s="1316"/>
      <c r="D8" s="1316"/>
      <c r="E8" s="1316"/>
      <c r="F8" s="1316"/>
    </row>
    <row r="9" spans="1:9" x14ac:dyDescent="0.25">
      <c r="A9" s="217"/>
      <c r="B9" s="1331" t="s">
        <v>1954</v>
      </c>
      <c r="C9" s="1332"/>
      <c r="D9" s="1332"/>
      <c r="E9" s="1332"/>
      <c r="F9" s="1333"/>
    </row>
    <row r="10" spans="1:9" x14ac:dyDescent="0.25">
      <c r="A10" s="217"/>
      <c r="B10" s="943"/>
      <c r="C10" s="943"/>
      <c r="D10" s="978" t="s">
        <v>187</v>
      </c>
      <c r="E10" s="943" t="s">
        <v>188</v>
      </c>
      <c r="F10" s="925" t="s">
        <v>682</v>
      </c>
    </row>
    <row r="11" spans="1:9" x14ac:dyDescent="0.25">
      <c r="A11" s="4" t="s">
        <v>5</v>
      </c>
      <c r="B11" s="269" t="s">
        <v>453</v>
      </c>
      <c r="C11" s="217"/>
      <c r="D11" s="269" t="s">
        <v>683</v>
      </c>
      <c r="E11" s="269" t="s">
        <v>684</v>
      </c>
      <c r="F11" s="269" t="s">
        <v>180</v>
      </c>
      <c r="G11" s="4" t="s">
        <v>5</v>
      </c>
    </row>
    <row r="12" spans="1:9" x14ac:dyDescent="0.25">
      <c r="A12" s="4" t="s">
        <v>6</v>
      </c>
      <c r="B12" s="274" t="s">
        <v>310</v>
      </c>
      <c r="C12" s="274" t="s">
        <v>311</v>
      </c>
      <c r="D12" s="927" t="s">
        <v>685</v>
      </c>
      <c r="E12" s="436" t="s">
        <v>685</v>
      </c>
      <c r="F12" s="274" t="s">
        <v>685</v>
      </c>
      <c r="G12" s="4" t="s">
        <v>6</v>
      </c>
      <c r="I12" s="217"/>
    </row>
    <row r="13" spans="1:9" x14ac:dyDescent="0.25">
      <c r="B13" s="277"/>
      <c r="C13" s="277"/>
      <c r="D13" s="217"/>
      <c r="E13" s="269"/>
      <c r="F13" s="269"/>
    </row>
    <row r="14" spans="1:9" x14ac:dyDescent="0.25">
      <c r="A14" s="4">
        <v>1</v>
      </c>
      <c r="B14" s="952" t="s">
        <v>752</v>
      </c>
      <c r="C14" s="1014" t="s">
        <v>753</v>
      </c>
      <c r="D14" s="1015">
        <v>2.4400000000000002E-2</v>
      </c>
      <c r="E14" s="1016">
        <v>0</v>
      </c>
      <c r="F14" s="1000">
        <f>D14+E14</f>
        <v>2.4400000000000002E-2</v>
      </c>
      <c r="G14" s="4">
        <f>A14</f>
        <v>1</v>
      </c>
      <c r="I14" s="47"/>
    </row>
    <row r="15" spans="1:9" x14ac:dyDescent="0.25">
      <c r="A15" s="4">
        <f t="shared" ref="A15:A28" si="0">A14+1</f>
        <v>2</v>
      </c>
      <c r="B15" s="952" t="s">
        <v>754</v>
      </c>
      <c r="C15" s="1014" t="s">
        <v>755</v>
      </c>
      <c r="D15" s="1015">
        <v>0</v>
      </c>
      <c r="E15" s="1016">
        <v>0</v>
      </c>
      <c r="F15" s="1000">
        <f>D15+E15</f>
        <v>0</v>
      </c>
      <c r="G15" s="4">
        <f t="shared" ref="G15:G28" si="1">G14+1</f>
        <v>2</v>
      </c>
      <c r="I15" s="47"/>
    </row>
    <row r="16" spans="1:9" x14ac:dyDescent="0.25">
      <c r="A16" s="4">
        <f t="shared" si="0"/>
        <v>3</v>
      </c>
      <c r="B16" s="952" t="s">
        <v>756</v>
      </c>
      <c r="C16" s="1014" t="s">
        <v>757</v>
      </c>
      <c r="D16" s="1015">
        <v>4.1099999999999998E-2</v>
      </c>
      <c r="E16" s="1016">
        <v>0</v>
      </c>
      <c r="F16" s="1000">
        <f t="shared" ref="F16:F27" si="2">D16+E16</f>
        <v>4.1099999999999998E-2</v>
      </c>
      <c r="G16" s="4">
        <f t="shared" si="1"/>
        <v>3</v>
      </c>
      <c r="I16" s="47"/>
    </row>
    <row r="17" spans="1:16" x14ac:dyDescent="0.25">
      <c r="A17" s="4">
        <f t="shared" si="0"/>
        <v>4</v>
      </c>
      <c r="B17" s="952" t="s">
        <v>758</v>
      </c>
      <c r="C17" s="1014" t="s">
        <v>759</v>
      </c>
      <c r="D17" s="1015">
        <v>0.04</v>
      </c>
      <c r="E17" s="1016">
        <v>0</v>
      </c>
      <c r="F17" s="1000">
        <f t="shared" si="2"/>
        <v>0.04</v>
      </c>
      <c r="G17" s="4">
        <f t="shared" si="1"/>
        <v>4</v>
      </c>
      <c r="I17" s="47"/>
    </row>
    <row r="18" spans="1:16" x14ac:dyDescent="0.25">
      <c r="A18" s="4">
        <f t="shared" si="0"/>
        <v>5</v>
      </c>
      <c r="B18" s="932" t="s">
        <v>760</v>
      </c>
      <c r="C18" s="233" t="s">
        <v>761</v>
      </c>
      <c r="D18" s="1015">
        <v>3.32E-2</v>
      </c>
      <c r="E18" s="1016">
        <v>0</v>
      </c>
      <c r="F18" s="1000">
        <f t="shared" si="2"/>
        <v>3.32E-2</v>
      </c>
      <c r="G18" s="4">
        <f t="shared" si="1"/>
        <v>5</v>
      </c>
      <c r="I18" s="47"/>
    </row>
    <row r="19" spans="1:16" x14ac:dyDescent="0.25">
      <c r="A19" s="4">
        <f t="shared" si="0"/>
        <v>6</v>
      </c>
      <c r="B19" s="952" t="s">
        <v>762</v>
      </c>
      <c r="C19" s="1014" t="s">
        <v>763</v>
      </c>
      <c r="D19" s="1015">
        <v>9.4799999999999995E-2</v>
      </c>
      <c r="E19" s="1016">
        <v>0</v>
      </c>
      <c r="F19" s="1000">
        <f t="shared" si="2"/>
        <v>9.4799999999999995E-2</v>
      </c>
      <c r="G19" s="4">
        <f t="shared" si="1"/>
        <v>6</v>
      </c>
      <c r="I19" s="47"/>
    </row>
    <row r="20" spans="1:16" x14ac:dyDescent="0.25">
      <c r="A20" s="4">
        <f t="shared" si="0"/>
        <v>7</v>
      </c>
      <c r="B20" s="932" t="s">
        <v>764</v>
      </c>
      <c r="C20" s="233" t="s">
        <v>765</v>
      </c>
      <c r="D20" s="1015">
        <v>4.3400000000000001E-2</v>
      </c>
      <c r="E20" s="1016">
        <v>0</v>
      </c>
      <c r="F20" s="1000">
        <f t="shared" si="2"/>
        <v>4.3400000000000001E-2</v>
      </c>
      <c r="G20" s="4">
        <f t="shared" si="1"/>
        <v>7</v>
      </c>
      <c r="I20" s="47"/>
    </row>
    <row r="21" spans="1:16" x14ac:dyDescent="0.25">
      <c r="A21" s="4">
        <f t="shared" si="0"/>
        <v>8</v>
      </c>
      <c r="B21" s="952" t="s">
        <v>766</v>
      </c>
      <c r="C21" s="1014" t="s">
        <v>1492</v>
      </c>
      <c r="D21" s="1015">
        <v>0.22020000000000001</v>
      </c>
      <c r="E21" s="1016">
        <v>0</v>
      </c>
      <c r="F21" s="1000">
        <f t="shared" si="2"/>
        <v>0.22020000000000001</v>
      </c>
      <c r="G21" s="4">
        <f t="shared" si="1"/>
        <v>8</v>
      </c>
      <c r="I21" s="47"/>
    </row>
    <row r="22" spans="1:16" x14ac:dyDescent="0.25">
      <c r="A22" s="4">
        <f t="shared" si="0"/>
        <v>9</v>
      </c>
      <c r="B22" s="952" t="s">
        <v>768</v>
      </c>
      <c r="C22" s="1014" t="s">
        <v>769</v>
      </c>
      <c r="D22" s="1302">
        <v>0</v>
      </c>
      <c r="E22" s="1016">
        <v>0</v>
      </c>
      <c r="F22" s="1000">
        <f t="shared" si="2"/>
        <v>0</v>
      </c>
      <c r="G22" s="4">
        <f t="shared" si="1"/>
        <v>9</v>
      </c>
      <c r="I22" s="47"/>
    </row>
    <row r="23" spans="1:16" x14ac:dyDescent="0.25">
      <c r="A23" s="4">
        <f t="shared" si="0"/>
        <v>10</v>
      </c>
      <c r="B23" s="932" t="s">
        <v>2096</v>
      </c>
      <c r="C23" s="233" t="s">
        <v>2097</v>
      </c>
      <c r="D23" s="1301">
        <v>3.0200000000000001E-2</v>
      </c>
      <c r="E23" s="1016">
        <v>1.6400000000000001E-2</v>
      </c>
      <c r="F23" s="1000">
        <f t="shared" si="2"/>
        <v>4.6600000000000003E-2</v>
      </c>
      <c r="G23" s="4">
        <f t="shared" si="1"/>
        <v>10</v>
      </c>
      <c r="I23" s="47"/>
    </row>
    <row r="24" spans="1:16" x14ac:dyDescent="0.25">
      <c r="A24" s="4">
        <f t="shared" si="0"/>
        <v>11</v>
      </c>
      <c r="B24" s="952" t="s">
        <v>770</v>
      </c>
      <c r="C24" s="1014" t="s">
        <v>771</v>
      </c>
      <c r="D24" s="1015">
        <v>0</v>
      </c>
      <c r="E24" s="1016">
        <v>0</v>
      </c>
      <c r="F24" s="1000">
        <f t="shared" si="2"/>
        <v>0</v>
      </c>
      <c r="G24" s="4">
        <f t="shared" si="1"/>
        <v>11</v>
      </c>
      <c r="I24" s="47"/>
    </row>
    <row r="25" spans="1:16" x14ac:dyDescent="0.25">
      <c r="A25" s="4">
        <f t="shared" si="0"/>
        <v>12</v>
      </c>
      <c r="B25" s="952" t="s">
        <v>772</v>
      </c>
      <c r="C25" s="1014" t="s">
        <v>773</v>
      </c>
      <c r="D25" s="1015">
        <v>0</v>
      </c>
      <c r="E25" s="1016">
        <v>0</v>
      </c>
      <c r="F25" s="1000">
        <f t="shared" si="2"/>
        <v>0</v>
      </c>
      <c r="G25" s="4">
        <f t="shared" si="1"/>
        <v>12</v>
      </c>
      <c r="I25" s="47"/>
    </row>
    <row r="26" spans="1:16" x14ac:dyDescent="0.25">
      <c r="A26" s="4">
        <f t="shared" si="0"/>
        <v>13</v>
      </c>
      <c r="B26" s="952" t="s">
        <v>774</v>
      </c>
      <c r="C26" s="1014" t="s">
        <v>775</v>
      </c>
      <c r="D26" s="1015">
        <v>5.79E-2</v>
      </c>
      <c r="E26" s="1016">
        <v>0</v>
      </c>
      <c r="F26" s="1000">
        <f t="shared" si="2"/>
        <v>5.79E-2</v>
      </c>
      <c r="G26" s="4">
        <f t="shared" si="1"/>
        <v>13</v>
      </c>
      <c r="I26" s="47"/>
    </row>
    <row r="27" spans="1:16" x14ac:dyDescent="0.25">
      <c r="A27" s="4">
        <f t="shared" si="0"/>
        <v>14</v>
      </c>
      <c r="B27" s="952" t="s">
        <v>776</v>
      </c>
      <c r="C27" s="1014" t="s">
        <v>777</v>
      </c>
      <c r="D27" s="1015">
        <v>0</v>
      </c>
      <c r="E27" s="1016">
        <v>0</v>
      </c>
      <c r="F27" s="1000">
        <f t="shared" si="2"/>
        <v>0</v>
      </c>
      <c r="G27" s="4">
        <f t="shared" si="1"/>
        <v>14</v>
      </c>
      <c r="I27"/>
      <c r="J27"/>
      <c r="K27"/>
      <c r="L27"/>
      <c r="M27"/>
      <c r="N27"/>
      <c r="O27"/>
      <c r="P27"/>
    </row>
    <row r="28" spans="1:16" x14ac:dyDescent="0.25">
      <c r="A28" s="4">
        <f t="shared" si="0"/>
        <v>15</v>
      </c>
      <c r="B28" s="1017"/>
      <c r="C28" s="1014"/>
      <c r="D28" s="1003"/>
      <c r="E28" s="1000"/>
      <c r="F28" s="952" t="s">
        <v>1</v>
      </c>
      <c r="G28" s="4">
        <f t="shared" si="1"/>
        <v>15</v>
      </c>
    </row>
    <row r="30" spans="1:16" ht="18.75" x14ac:dyDescent="0.25">
      <c r="A30" s="265"/>
      <c r="B30" s="32" t="s">
        <v>778</v>
      </c>
    </row>
    <row r="31" spans="1:16" x14ac:dyDescent="0.25">
      <c r="B31" s="32" t="s">
        <v>779</v>
      </c>
    </row>
    <row r="32" spans="1:16" ht="18.75" x14ac:dyDescent="0.25">
      <c r="A32" s="265"/>
      <c r="B32" s="31" t="s">
        <v>780</v>
      </c>
    </row>
    <row r="33" spans="2:2" x14ac:dyDescent="0.25">
      <c r="B33" s="31" t="s">
        <v>781</v>
      </c>
    </row>
    <row r="34" spans="2:2" x14ac:dyDescent="0.25">
      <c r="B34" s="31" t="s">
        <v>782</v>
      </c>
    </row>
    <row r="35" spans="2:2" x14ac:dyDescent="0.25">
      <c r="B35" s="31" t="s">
        <v>783</v>
      </c>
    </row>
    <row r="37" spans="2:2" x14ac:dyDescent="0.25">
      <c r="B37" s="32"/>
    </row>
  </sheetData>
  <mergeCells count="7">
    <mergeCell ref="B9:F9"/>
    <mergeCell ref="B8:F8"/>
    <mergeCell ref="B2:F2"/>
    <mergeCell ref="B3:F3"/>
    <mergeCell ref="B4:F4"/>
    <mergeCell ref="B5:F5"/>
    <mergeCell ref="B6:F6"/>
  </mergeCells>
  <printOptions horizontalCentered="1"/>
  <pageMargins left="0.5" right="0.5" top="0.5" bottom="0.5" header="0.25" footer="0.25"/>
  <pageSetup scale="94" orientation="portrait" r:id="rId1"/>
  <headerFooter scaleWithDoc="0">
    <oddFooter>&amp;C&amp;"Times New Roman,Regular"&amp;10General Plant Depreciation Rates
&amp;A</oddFooter>
  </headerFooter>
  <customProperties>
    <customPr name="_pios_id" r:id="rId2"/>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2:G20"/>
  <sheetViews>
    <sheetView zoomScale="80" zoomScaleNormal="80" workbookViewId="0">
      <selection activeCell="K41" sqref="K41"/>
    </sheetView>
  </sheetViews>
  <sheetFormatPr defaultColWidth="9.28515625" defaultRowHeight="15.75" x14ac:dyDescent="0.25"/>
  <cols>
    <col min="1" max="1" width="5.28515625" style="217" customWidth="1"/>
    <col min="2" max="2" width="8.5703125" style="1" customWidth="1"/>
    <col min="3" max="3" width="41.28515625" style="1" customWidth="1"/>
    <col min="4" max="4" width="18.5703125" style="1" customWidth="1"/>
    <col min="5" max="5" width="62.5703125" style="1" customWidth="1"/>
    <col min="6" max="6" width="5.28515625" style="217" customWidth="1"/>
    <col min="7" max="7" width="24" style="1" customWidth="1"/>
    <col min="8" max="8" width="11" style="1" customWidth="1"/>
    <col min="9" max="9" width="7.28515625" style="1" customWidth="1"/>
    <col min="10" max="10" width="9.28515625" style="1" customWidth="1"/>
    <col min="11" max="11" width="14" style="1" customWidth="1"/>
    <col min="12" max="12" width="13.42578125" style="1" customWidth="1"/>
    <col min="13" max="16384" width="9.28515625" style="1"/>
  </cols>
  <sheetData>
    <row r="2" spans="1:7" x14ac:dyDescent="0.25">
      <c r="B2" s="1316" t="s">
        <v>0</v>
      </c>
      <c r="C2" s="1316"/>
      <c r="D2" s="1316"/>
      <c r="E2" s="1316"/>
    </row>
    <row r="3" spans="1:7" x14ac:dyDescent="0.25">
      <c r="B3" s="1316" t="s">
        <v>644</v>
      </c>
      <c r="C3" s="1316"/>
      <c r="D3" s="1316"/>
      <c r="E3" s="1316"/>
      <c r="G3"/>
    </row>
    <row r="4" spans="1:7" x14ac:dyDescent="0.25">
      <c r="B4" s="1316" t="s">
        <v>728</v>
      </c>
      <c r="C4" s="1316"/>
      <c r="D4" s="1316"/>
      <c r="E4" s="1316"/>
    </row>
    <row r="5" spans="1:7" x14ac:dyDescent="0.25">
      <c r="B5" s="1334" t="str">
        <f>'AD-1'!B5</f>
        <v>BASE PERIOD / TRUE UP PERIOD - 12/31/2025 PER BOOK</v>
      </c>
      <c r="C5" s="1334"/>
      <c r="D5" s="1334"/>
      <c r="E5" s="1334"/>
      <c r="F5" s="482"/>
    </row>
    <row r="6" spans="1:7" x14ac:dyDescent="0.25">
      <c r="B6" s="1335" t="s">
        <v>4</v>
      </c>
      <c r="C6" s="1335"/>
      <c r="D6" s="1335"/>
      <c r="E6" s="1335"/>
      <c r="F6" s="482"/>
    </row>
    <row r="7" spans="1:7" x14ac:dyDescent="0.25">
      <c r="B7" s="439"/>
      <c r="C7" s="439"/>
      <c r="D7" s="439"/>
      <c r="E7" s="439"/>
      <c r="F7" s="482"/>
    </row>
    <row r="8" spans="1:7" x14ac:dyDescent="0.25">
      <c r="B8" s="1334" t="s">
        <v>344</v>
      </c>
      <c r="C8" s="1334"/>
      <c r="D8" s="1334"/>
      <c r="E8" s="1334"/>
      <c r="F8" s="482"/>
    </row>
    <row r="9" spans="1:7" x14ac:dyDescent="0.25">
      <c r="B9" s="438"/>
      <c r="C9" s="438"/>
      <c r="D9" s="438"/>
      <c r="E9" s="438"/>
      <c r="F9" s="482"/>
    </row>
    <row r="10" spans="1:7" x14ac:dyDescent="0.25">
      <c r="A10" s="4" t="s">
        <v>5</v>
      </c>
      <c r="B10" s="320"/>
      <c r="C10" s="320"/>
      <c r="D10" s="321"/>
      <c r="E10" s="322"/>
      <c r="F10" s="4" t="s">
        <v>5</v>
      </c>
    </row>
    <row r="11" spans="1:7" x14ac:dyDescent="0.25">
      <c r="A11" s="4" t="s">
        <v>6</v>
      </c>
      <c r="B11" s="305" t="s">
        <v>260</v>
      </c>
      <c r="C11" s="305" t="s">
        <v>311</v>
      </c>
      <c r="D11" s="305" t="s">
        <v>7</v>
      </c>
      <c r="E11" s="274" t="s">
        <v>8</v>
      </c>
      <c r="F11" s="4" t="s">
        <v>6</v>
      </c>
    </row>
    <row r="12" spans="1:7" x14ac:dyDescent="0.25">
      <c r="A12" s="4"/>
      <c r="B12" s="323"/>
      <c r="C12" s="323"/>
      <c r="D12" s="323"/>
      <c r="E12" s="569"/>
      <c r="F12" s="340"/>
    </row>
    <row r="13" spans="1:7" x14ac:dyDescent="0.25">
      <c r="A13" s="4">
        <v>1</v>
      </c>
      <c r="B13" s="628" t="str">
        <f>'AJ-3'!B15</f>
        <v>Dec-25</v>
      </c>
      <c r="C13" s="325" t="s">
        <v>345</v>
      </c>
      <c r="D13" s="1018">
        <v>264402.15100000001</v>
      </c>
      <c r="E13" s="569" t="s">
        <v>2067</v>
      </c>
      <c r="F13" s="4">
        <f>A13</f>
        <v>1</v>
      </c>
    </row>
    <row r="14" spans="1:7" x14ac:dyDescent="0.25">
      <c r="A14" s="4">
        <f>A13+1</f>
        <v>2</v>
      </c>
      <c r="B14" s="325"/>
      <c r="C14" s="325" t="s">
        <v>347</v>
      </c>
      <c r="D14" s="246">
        <v>0.70169999999999999</v>
      </c>
      <c r="E14" s="964" t="s">
        <v>2068</v>
      </c>
      <c r="F14" s="4">
        <f>F13+1</f>
        <v>2</v>
      </c>
    </row>
    <row r="15" spans="1:7" x14ac:dyDescent="0.25">
      <c r="A15" s="4">
        <f t="shared" ref="A15:A16" si="0">A14+1</f>
        <v>3</v>
      </c>
      <c r="B15" s="325"/>
      <c r="C15" s="325" t="s">
        <v>784</v>
      </c>
      <c r="D15" s="1019">
        <f>D13*D14</f>
        <v>185530.98935670001</v>
      </c>
      <c r="E15" s="938" t="s">
        <v>785</v>
      </c>
      <c r="F15" s="4">
        <f t="shared" ref="F15:F16" si="1">F14+1</f>
        <v>3</v>
      </c>
    </row>
    <row r="16" spans="1:7" x14ac:dyDescent="0.25">
      <c r="A16" s="4">
        <f t="shared" si="0"/>
        <v>4</v>
      </c>
      <c r="B16" s="326"/>
      <c r="C16" s="305"/>
      <c r="D16" s="326"/>
      <c r="E16" s="290"/>
      <c r="F16" s="4">
        <f t="shared" si="1"/>
        <v>4</v>
      </c>
    </row>
    <row r="17" spans="1:6" x14ac:dyDescent="0.25">
      <c r="A17" s="4"/>
      <c r="B17" s="31"/>
      <c r="C17" s="31"/>
      <c r="D17" s="105"/>
      <c r="E17" s="31"/>
      <c r="F17" s="4"/>
    </row>
    <row r="18" spans="1:6" x14ac:dyDescent="0.25">
      <c r="B18" s="31"/>
      <c r="C18" s="31"/>
      <c r="D18" s="31"/>
      <c r="E18" s="31"/>
      <c r="F18" s="4"/>
    </row>
    <row r="19" spans="1:6" x14ac:dyDescent="0.25">
      <c r="B19" s="31"/>
      <c r="C19" s="31"/>
      <c r="D19" s="31"/>
      <c r="E19" s="31"/>
    </row>
    <row r="20" spans="1:6" x14ac:dyDescent="0.25">
      <c r="B20" s="31"/>
      <c r="C20" s="31"/>
      <c r="D20" s="31"/>
      <c r="E20" s="31"/>
    </row>
  </sheetData>
  <mergeCells count="6">
    <mergeCell ref="B8:E8"/>
    <mergeCell ref="B2:E2"/>
    <mergeCell ref="B3:E3"/>
    <mergeCell ref="B4:E4"/>
    <mergeCell ref="B5:E5"/>
    <mergeCell ref="B6:E6"/>
  </mergeCells>
  <printOptions horizontalCentered="1"/>
  <pageMargins left="0.5" right="0.5" top="0.5" bottom="0.5" header="0.25" footer="0.25"/>
  <pageSetup scale="90" orientation="landscape" r:id="rId1"/>
  <headerFooter scaleWithDoc="0">
    <oddFooter>&amp;C&amp;"Times New Roman,Regular"&amp;10&amp;A</oddFooter>
  </headerFooter>
  <customProperties>
    <customPr name="_pios_id" r:id="rId2"/>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2:I36"/>
  <sheetViews>
    <sheetView zoomScale="80" zoomScaleNormal="80" workbookViewId="0">
      <selection activeCell="L26" sqref="L26"/>
    </sheetView>
  </sheetViews>
  <sheetFormatPr defaultColWidth="8.7109375" defaultRowHeight="15.75" x14ac:dyDescent="0.25"/>
  <cols>
    <col min="1" max="1" width="5.28515625" style="4" customWidth="1"/>
    <col min="2" max="2" width="15.28515625" style="31" customWidth="1"/>
    <col min="3" max="3" width="25.7109375" style="31" customWidth="1"/>
    <col min="4" max="6" width="16.7109375" style="4" customWidth="1"/>
    <col min="7" max="7" width="5.28515625" style="4" customWidth="1"/>
    <col min="8" max="8" width="10.7109375" style="31" customWidth="1"/>
    <col min="9" max="9" width="8.28515625" style="31" bestFit="1" customWidth="1"/>
    <col min="10" max="16384" width="8.7109375" style="31"/>
  </cols>
  <sheetData>
    <row r="2" spans="1:9" x14ac:dyDescent="0.25">
      <c r="B2" s="1316" t="s">
        <v>0</v>
      </c>
      <c r="C2" s="1316"/>
      <c r="D2" s="1316"/>
      <c r="E2" s="1316"/>
      <c r="F2" s="1316"/>
    </row>
    <row r="3" spans="1:9" x14ac:dyDescent="0.25">
      <c r="B3" s="1334" t="s">
        <v>681</v>
      </c>
      <c r="C3" s="1334"/>
      <c r="D3" s="1334"/>
      <c r="E3" s="1334"/>
      <c r="F3" s="1334"/>
      <c r="G3" s="340"/>
    </row>
    <row r="4" spans="1:9" x14ac:dyDescent="0.25">
      <c r="B4" s="1334" t="s">
        <v>1511</v>
      </c>
      <c r="C4" s="1334"/>
      <c r="D4" s="1334"/>
      <c r="E4" s="1334"/>
      <c r="F4" s="1334"/>
      <c r="G4" s="340"/>
    </row>
    <row r="5" spans="1:9" x14ac:dyDescent="0.25">
      <c r="B5" s="1339" t="s">
        <v>2075</v>
      </c>
      <c r="C5" s="1339"/>
      <c r="D5" s="1339"/>
      <c r="E5" s="1339"/>
      <c r="F5" s="1339"/>
      <c r="G5" s="340"/>
    </row>
    <row r="6" spans="1:9" x14ac:dyDescent="0.25">
      <c r="B6" s="1339" t="s">
        <v>2076</v>
      </c>
      <c r="C6" s="1339"/>
      <c r="D6" s="1339"/>
      <c r="E6" s="1339"/>
      <c r="F6" s="1339"/>
      <c r="G6" s="340"/>
    </row>
    <row r="7" spans="1:9" x14ac:dyDescent="0.25">
      <c r="A7" s="340"/>
      <c r="B7" s="340"/>
      <c r="C7" s="5"/>
      <c r="D7" s="340"/>
      <c r="E7" s="340"/>
      <c r="F7" s="340"/>
      <c r="G7" s="340"/>
    </row>
    <row r="8" spans="1:9" x14ac:dyDescent="0.25">
      <c r="A8" s="340"/>
      <c r="B8" s="1334" t="s">
        <v>2077</v>
      </c>
      <c r="C8" s="1334"/>
      <c r="D8" s="1334"/>
      <c r="E8" s="1334"/>
      <c r="F8" s="1334"/>
      <c r="G8" s="340"/>
    </row>
    <row r="9" spans="1:9" x14ac:dyDescent="0.25">
      <c r="A9" s="482"/>
      <c r="B9" s="1336" t="s">
        <v>1954</v>
      </c>
      <c r="C9" s="1337"/>
      <c r="D9" s="1337"/>
      <c r="E9" s="1337"/>
      <c r="F9" s="1338"/>
      <c r="G9" s="340"/>
    </row>
    <row r="10" spans="1:9" x14ac:dyDescent="0.25">
      <c r="A10" s="482"/>
      <c r="B10" s="1020"/>
      <c r="C10" s="1020"/>
      <c r="D10" s="1021" t="s">
        <v>187</v>
      </c>
      <c r="E10" s="1020" t="s">
        <v>188</v>
      </c>
      <c r="F10" s="1022" t="s">
        <v>682</v>
      </c>
      <c r="G10" s="340"/>
    </row>
    <row r="11" spans="1:9" x14ac:dyDescent="0.25">
      <c r="A11" s="340" t="s">
        <v>5</v>
      </c>
      <c r="B11" s="829" t="s">
        <v>453</v>
      </c>
      <c r="C11" s="482"/>
      <c r="D11" s="829" t="s">
        <v>683</v>
      </c>
      <c r="E11" s="829" t="s">
        <v>684</v>
      </c>
      <c r="F11" s="829" t="s">
        <v>180</v>
      </c>
      <c r="G11" s="340" t="s">
        <v>5</v>
      </c>
    </row>
    <row r="12" spans="1:9" x14ac:dyDescent="0.25">
      <c r="A12" s="340" t="s">
        <v>6</v>
      </c>
      <c r="B12" s="440" t="s">
        <v>310</v>
      </c>
      <c r="C12" s="440" t="s">
        <v>311</v>
      </c>
      <c r="D12" s="1023" t="s">
        <v>685</v>
      </c>
      <c r="E12" s="634" t="s">
        <v>685</v>
      </c>
      <c r="F12" s="440" t="s">
        <v>685</v>
      </c>
      <c r="G12" s="340" t="s">
        <v>6</v>
      </c>
      <c r="I12" s="217"/>
    </row>
    <row r="13" spans="1:9" x14ac:dyDescent="0.25">
      <c r="A13" s="340"/>
      <c r="B13" s="1024"/>
      <c r="C13" s="1024"/>
      <c r="D13" s="482"/>
      <c r="E13" s="829"/>
      <c r="F13" s="829"/>
      <c r="G13" s="340"/>
    </row>
    <row r="14" spans="1:9" x14ac:dyDescent="0.25">
      <c r="A14" s="340">
        <v>1</v>
      </c>
      <c r="B14" s="1025" t="s">
        <v>786</v>
      </c>
      <c r="C14" s="1026" t="s">
        <v>787</v>
      </c>
      <c r="D14" s="1027">
        <v>3.1E-2</v>
      </c>
      <c r="E14" s="1028">
        <v>4.8999999999999998E-3</v>
      </c>
      <c r="F14" s="1029">
        <f>D14+E14</f>
        <v>3.5900000000000001E-2</v>
      </c>
      <c r="G14" s="340">
        <f>A14</f>
        <v>1</v>
      </c>
      <c r="I14" s="47"/>
    </row>
    <row r="15" spans="1:9" x14ac:dyDescent="0.25">
      <c r="A15" s="340">
        <f t="shared" ref="A15:A27" si="0">A14+1</f>
        <v>2</v>
      </c>
      <c r="B15" s="1030" t="s">
        <v>788</v>
      </c>
      <c r="C15" s="998" t="s">
        <v>789</v>
      </c>
      <c r="D15" s="1027">
        <v>5.6000000000000001E-2</v>
      </c>
      <c r="E15" s="1028">
        <v>0</v>
      </c>
      <c r="F15" s="1029">
        <f t="shared" ref="F15:F26" si="1">D15+E15</f>
        <v>5.6000000000000001E-2</v>
      </c>
      <c r="G15" s="340">
        <f t="shared" ref="G15:G27" si="2">G14+1</f>
        <v>2</v>
      </c>
      <c r="I15" s="47"/>
    </row>
    <row r="16" spans="1:9" x14ac:dyDescent="0.25">
      <c r="A16" s="340">
        <f t="shared" si="0"/>
        <v>3</v>
      </c>
      <c r="B16" s="1025" t="s">
        <v>790</v>
      </c>
      <c r="C16" s="1026" t="s">
        <v>791</v>
      </c>
      <c r="D16" s="1027">
        <v>0.1711</v>
      </c>
      <c r="E16" s="1028">
        <v>0</v>
      </c>
      <c r="F16" s="1029">
        <f t="shared" si="1"/>
        <v>0.1711</v>
      </c>
      <c r="G16" s="340">
        <f t="shared" si="2"/>
        <v>3</v>
      </c>
      <c r="I16" s="47"/>
    </row>
    <row r="17" spans="1:9" x14ac:dyDescent="0.25">
      <c r="A17" s="340">
        <f t="shared" si="0"/>
        <v>4</v>
      </c>
      <c r="B17" s="1025" t="s">
        <v>792</v>
      </c>
      <c r="C17" s="1026" t="s">
        <v>755</v>
      </c>
      <c r="D17" s="1027">
        <v>9.7199999999999995E-2</v>
      </c>
      <c r="E17" s="1028">
        <v>0</v>
      </c>
      <c r="F17" s="1029">
        <f t="shared" si="1"/>
        <v>9.7199999999999995E-2</v>
      </c>
      <c r="G17" s="340">
        <f t="shared" si="2"/>
        <v>4</v>
      </c>
      <c r="I17" s="47"/>
    </row>
    <row r="18" spans="1:9" x14ac:dyDescent="0.25">
      <c r="A18" s="340">
        <f t="shared" si="0"/>
        <v>5</v>
      </c>
      <c r="B18" s="1025" t="s">
        <v>793</v>
      </c>
      <c r="C18" s="1026" t="s">
        <v>757</v>
      </c>
      <c r="D18" s="1027">
        <v>4.24E-2</v>
      </c>
      <c r="E18" s="1028">
        <v>0</v>
      </c>
      <c r="F18" s="1029">
        <f t="shared" si="1"/>
        <v>4.24E-2</v>
      </c>
      <c r="G18" s="340">
        <f t="shared" si="2"/>
        <v>5</v>
      </c>
      <c r="I18" s="47"/>
    </row>
    <row r="19" spans="1:9" x14ac:dyDescent="0.25">
      <c r="A19" s="340">
        <f t="shared" si="0"/>
        <v>6</v>
      </c>
      <c r="B19" s="1030" t="s">
        <v>794</v>
      </c>
      <c r="C19" s="998" t="s">
        <v>795</v>
      </c>
      <c r="D19" s="1031">
        <v>9.8699999999999996E-2</v>
      </c>
      <c r="E19" s="635">
        <v>0</v>
      </c>
      <c r="F19" s="1029">
        <f t="shared" si="1"/>
        <v>9.8699999999999996E-2</v>
      </c>
      <c r="G19" s="340">
        <f t="shared" si="2"/>
        <v>6</v>
      </c>
      <c r="I19" s="47"/>
    </row>
    <row r="20" spans="1:9" x14ac:dyDescent="0.25">
      <c r="A20" s="340">
        <f t="shared" si="0"/>
        <v>7</v>
      </c>
      <c r="B20" s="1025" t="s">
        <v>796</v>
      </c>
      <c r="C20" s="1026" t="s">
        <v>759</v>
      </c>
      <c r="D20" s="1027">
        <v>4.1500000000000002E-2</v>
      </c>
      <c r="E20" s="1028">
        <v>0</v>
      </c>
      <c r="F20" s="1029">
        <f t="shared" si="1"/>
        <v>4.1500000000000002E-2</v>
      </c>
      <c r="G20" s="340">
        <f t="shared" si="2"/>
        <v>7</v>
      </c>
      <c r="I20" s="47"/>
    </row>
    <row r="21" spans="1:9" x14ac:dyDescent="0.25">
      <c r="A21" s="340">
        <f t="shared" si="0"/>
        <v>8</v>
      </c>
      <c r="B21" s="1030" t="s">
        <v>797</v>
      </c>
      <c r="C21" s="998" t="s">
        <v>761</v>
      </c>
      <c r="D21" s="1027">
        <v>3.7199999999999997E-2</v>
      </c>
      <c r="E21" s="1028">
        <v>0</v>
      </c>
      <c r="F21" s="1029">
        <f t="shared" si="1"/>
        <v>3.7199999999999997E-2</v>
      </c>
      <c r="G21" s="340">
        <f t="shared" si="2"/>
        <v>8</v>
      </c>
      <c r="I21" s="47"/>
    </row>
    <row r="22" spans="1:9" x14ac:dyDescent="0.25">
      <c r="A22" s="340">
        <f t="shared" si="0"/>
        <v>9</v>
      </c>
      <c r="B22" s="1025" t="s">
        <v>798</v>
      </c>
      <c r="C22" s="1026" t="s">
        <v>799</v>
      </c>
      <c r="D22" s="1027">
        <v>1.5100000000000001E-2</v>
      </c>
      <c r="E22" s="1028">
        <v>0</v>
      </c>
      <c r="F22" s="1029">
        <f t="shared" si="1"/>
        <v>1.5100000000000001E-2</v>
      </c>
      <c r="G22" s="340">
        <f t="shared" si="2"/>
        <v>9</v>
      </c>
      <c r="I22" s="47"/>
    </row>
    <row r="23" spans="1:9" x14ac:dyDescent="0.25">
      <c r="A23" s="340">
        <f t="shared" si="0"/>
        <v>10</v>
      </c>
      <c r="B23" s="1030" t="s">
        <v>800</v>
      </c>
      <c r="C23" s="998" t="s">
        <v>801</v>
      </c>
      <c r="D23" s="1027">
        <v>6.0400000000000002E-2</v>
      </c>
      <c r="E23" s="1028">
        <v>0</v>
      </c>
      <c r="F23" s="1029">
        <f t="shared" si="1"/>
        <v>6.0400000000000002E-2</v>
      </c>
      <c r="G23" s="340">
        <f t="shared" si="2"/>
        <v>10</v>
      </c>
      <c r="I23" s="47"/>
    </row>
    <row r="24" spans="1:9" x14ac:dyDescent="0.25">
      <c r="A24" s="340">
        <f t="shared" si="0"/>
        <v>11</v>
      </c>
      <c r="B24" s="1025" t="s">
        <v>802</v>
      </c>
      <c r="C24" s="1026" t="s">
        <v>765</v>
      </c>
      <c r="D24" s="1027">
        <v>4.02E-2</v>
      </c>
      <c r="E24" s="1028">
        <v>0</v>
      </c>
      <c r="F24" s="1029">
        <f t="shared" si="1"/>
        <v>4.02E-2</v>
      </c>
      <c r="G24" s="340">
        <f t="shared" si="2"/>
        <v>11</v>
      </c>
      <c r="I24" s="47"/>
    </row>
    <row r="25" spans="1:9" x14ac:dyDescent="0.25">
      <c r="A25" s="340">
        <f t="shared" si="0"/>
        <v>12</v>
      </c>
      <c r="B25" s="1025" t="s">
        <v>803</v>
      </c>
      <c r="C25" s="1026" t="s">
        <v>767</v>
      </c>
      <c r="D25" s="1027">
        <v>0</v>
      </c>
      <c r="E25" s="1028">
        <v>0</v>
      </c>
      <c r="F25" s="1029">
        <f t="shared" si="1"/>
        <v>0</v>
      </c>
      <c r="G25" s="340">
        <f t="shared" si="2"/>
        <v>12</v>
      </c>
      <c r="I25" s="47"/>
    </row>
    <row r="26" spans="1:9" x14ac:dyDescent="0.25">
      <c r="A26" s="340">
        <f t="shared" si="0"/>
        <v>13</v>
      </c>
      <c r="B26" s="1030" t="s">
        <v>804</v>
      </c>
      <c r="C26" s="998" t="s">
        <v>775</v>
      </c>
      <c r="D26" s="1027">
        <v>5.8599999999999999E-2</v>
      </c>
      <c r="E26" s="1028">
        <v>0</v>
      </c>
      <c r="F26" s="1029">
        <f t="shared" si="1"/>
        <v>5.8599999999999999E-2</v>
      </c>
      <c r="G26" s="340">
        <f t="shared" si="2"/>
        <v>13</v>
      </c>
    </row>
    <row r="27" spans="1:9" x14ac:dyDescent="0.25">
      <c r="A27" s="340">
        <f t="shared" si="0"/>
        <v>14</v>
      </c>
      <c r="B27" s="1032"/>
      <c r="C27" s="1026"/>
      <c r="D27" s="1033" t="s">
        <v>1</v>
      </c>
      <c r="E27" s="1025" t="s">
        <v>1</v>
      </c>
      <c r="F27" s="1025" t="s">
        <v>1</v>
      </c>
      <c r="G27" s="340">
        <f t="shared" si="2"/>
        <v>14</v>
      </c>
    </row>
    <row r="28" spans="1:9" x14ac:dyDescent="0.25">
      <c r="A28" s="340"/>
      <c r="B28" s="5"/>
      <c r="C28" s="5"/>
      <c r="D28" s="340"/>
      <c r="E28" s="340"/>
      <c r="F28" s="340"/>
      <c r="G28" s="340"/>
    </row>
    <row r="29" spans="1:9" ht="18.75" x14ac:dyDescent="0.25">
      <c r="A29" s="265"/>
      <c r="B29" s="32" t="s">
        <v>805</v>
      </c>
    </row>
    <row r="30" spans="1:9" x14ac:dyDescent="0.25">
      <c r="B30" s="32" t="s">
        <v>779</v>
      </c>
    </row>
    <row r="31" spans="1:9" ht="18.75" x14ac:dyDescent="0.25">
      <c r="A31" s="265"/>
      <c r="B31" s="31" t="s">
        <v>780</v>
      </c>
    </row>
    <row r="32" spans="1:9" x14ac:dyDescent="0.25">
      <c r="B32" s="31" t="s">
        <v>781</v>
      </c>
    </row>
    <row r="33" spans="2:6" x14ac:dyDescent="0.25">
      <c r="B33" s="31" t="s">
        <v>782</v>
      </c>
      <c r="D33" s="31"/>
      <c r="E33" s="31"/>
      <c r="F33" s="31"/>
    </row>
    <row r="34" spans="2:6" x14ac:dyDescent="0.25">
      <c r="B34" s="31" t="s">
        <v>783</v>
      </c>
      <c r="D34" s="31"/>
      <c r="E34" s="31"/>
      <c r="F34" s="31"/>
    </row>
    <row r="35" spans="2:6" x14ac:dyDescent="0.25">
      <c r="B35" s="32"/>
    </row>
    <row r="36" spans="2:6" x14ac:dyDescent="0.25">
      <c r="B36" s="32"/>
    </row>
  </sheetData>
  <mergeCells count="7">
    <mergeCell ref="B9:F9"/>
    <mergeCell ref="B8:F8"/>
    <mergeCell ref="B2:F2"/>
    <mergeCell ref="B3:F3"/>
    <mergeCell ref="B4:F4"/>
    <mergeCell ref="B5:F5"/>
    <mergeCell ref="B6:F6"/>
  </mergeCells>
  <printOptions horizontalCentered="1"/>
  <pageMargins left="0.5" right="0.5" top="0.5" bottom="0.5" header="0.25" footer="0.25"/>
  <pageSetup scale="94" orientation="portrait" r:id="rId1"/>
  <headerFooter scaleWithDoc="0">
    <oddFooter>&amp;C&amp;"Times New Roman,Regular"&amp;10Common Plant Depreciation Rates
&amp;A</oddFooter>
  </headerFooter>
  <customProperties>
    <customPr name="_pios_id" r:id="rId2"/>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2:L31"/>
  <sheetViews>
    <sheetView zoomScale="80" zoomScaleNormal="80" workbookViewId="0">
      <selection activeCell="F39" sqref="F39"/>
    </sheetView>
  </sheetViews>
  <sheetFormatPr defaultColWidth="9.28515625" defaultRowHeight="15.75" x14ac:dyDescent="0.25"/>
  <cols>
    <col min="1" max="1" width="5.28515625" style="217" customWidth="1"/>
    <col min="2" max="2" width="8.5703125" style="1" customWidth="1"/>
    <col min="3" max="3" width="53.28515625" style="1" customWidth="1"/>
    <col min="4" max="4" width="18.5703125" style="1" customWidth="1"/>
    <col min="5" max="5" width="27.7109375" style="1" customWidth="1"/>
    <col min="6" max="6" width="18.5703125" style="1" customWidth="1"/>
    <col min="7" max="7" width="27.7109375" style="1" customWidth="1"/>
    <col min="8" max="9" width="5.28515625" style="217" customWidth="1"/>
    <col min="10" max="10" width="9.42578125" style="1" bestFit="1" customWidth="1"/>
    <col min="11" max="16384" width="9.28515625" style="1"/>
  </cols>
  <sheetData>
    <row r="2" spans="1:12" x14ac:dyDescent="0.25">
      <c r="B2" s="1316" t="s">
        <v>0</v>
      </c>
      <c r="C2" s="1316"/>
      <c r="D2" s="1316"/>
      <c r="E2" s="1316"/>
      <c r="F2" s="1316"/>
      <c r="G2" s="1316"/>
    </row>
    <row r="3" spans="1:12" x14ac:dyDescent="0.25">
      <c r="B3" s="1316" t="s">
        <v>644</v>
      </c>
      <c r="C3" s="1316"/>
      <c r="D3" s="1316"/>
      <c r="E3" s="1316"/>
      <c r="F3" s="1316"/>
      <c r="G3" s="1316"/>
    </row>
    <row r="4" spans="1:12" x14ac:dyDescent="0.25">
      <c r="B4" s="1316" t="s">
        <v>806</v>
      </c>
      <c r="C4" s="1316"/>
      <c r="D4" s="1316"/>
      <c r="E4" s="1316"/>
      <c r="F4" s="1316"/>
      <c r="G4" s="1316"/>
    </row>
    <row r="5" spans="1:12" x14ac:dyDescent="0.25">
      <c r="B5" s="1316" t="str">
        <f>'AD-1'!B5</f>
        <v>BASE PERIOD / TRUE UP PERIOD - 12/31/2025 PER BOOK</v>
      </c>
      <c r="C5" s="1316"/>
      <c r="D5" s="1316"/>
      <c r="E5" s="1316"/>
      <c r="F5" s="1316"/>
      <c r="G5" s="1316"/>
    </row>
    <row r="6" spans="1:12" x14ac:dyDescent="0.25">
      <c r="B6" s="1316" t="s">
        <v>4</v>
      </c>
      <c r="C6" s="1316"/>
      <c r="D6" s="1316"/>
      <c r="E6" s="1316"/>
      <c r="F6" s="1316"/>
      <c r="G6" s="1316"/>
    </row>
    <row r="7" spans="1:12" x14ac:dyDescent="0.25">
      <c r="B7" s="217"/>
      <c r="C7" s="217"/>
      <c r="D7" s="217"/>
      <c r="E7" s="217"/>
      <c r="F7" s="217"/>
      <c r="G7" s="217"/>
    </row>
    <row r="8" spans="1:12" x14ac:dyDescent="0.25">
      <c r="B8" s="1316" t="s">
        <v>334</v>
      </c>
      <c r="C8" s="1316"/>
      <c r="D8" s="1316"/>
      <c r="E8" s="1316"/>
      <c r="F8" s="1316"/>
      <c r="G8" s="1316"/>
    </row>
    <row r="9" spans="1:12" x14ac:dyDescent="0.25">
      <c r="B9" s="989"/>
      <c r="C9" s="966"/>
      <c r="D9" s="966"/>
      <c r="E9" s="966"/>
      <c r="F9" s="966"/>
    </row>
    <row r="10" spans="1:12" x14ac:dyDescent="0.25">
      <c r="B10" s="990"/>
      <c r="C10" s="924"/>
      <c r="D10" s="925" t="s">
        <v>335</v>
      </c>
      <c r="E10" s="925"/>
      <c r="F10" s="925" t="s">
        <v>335</v>
      </c>
      <c r="G10" s="925"/>
      <c r="H10" s="4"/>
      <c r="I10" s="4"/>
    </row>
    <row r="11" spans="1:12" s="217" customFormat="1" x14ac:dyDescent="0.25">
      <c r="A11" s="4"/>
      <c r="B11" s="269"/>
      <c r="C11" s="269"/>
      <c r="D11" s="269" t="s">
        <v>295</v>
      </c>
      <c r="E11" s="269"/>
      <c r="F11" s="269" t="s">
        <v>295</v>
      </c>
      <c r="G11" s="269"/>
      <c r="H11" s="4"/>
      <c r="I11" s="4"/>
      <c r="K11" s="1"/>
      <c r="L11" s="1"/>
    </row>
    <row r="12" spans="1:12" x14ac:dyDescent="0.25">
      <c r="A12" s="4" t="s">
        <v>5</v>
      </c>
      <c r="B12" s="269" t="s">
        <v>310</v>
      </c>
      <c r="C12" s="269"/>
      <c r="D12" s="269" t="s">
        <v>646</v>
      </c>
      <c r="E12" s="269"/>
      <c r="F12" s="269" t="s">
        <v>646</v>
      </c>
      <c r="G12" s="269"/>
      <c r="H12" s="4" t="s">
        <v>5</v>
      </c>
      <c r="I12" s="4"/>
    </row>
    <row r="13" spans="1:12" x14ac:dyDescent="0.25">
      <c r="A13" s="4" t="s">
        <v>6</v>
      </c>
      <c r="B13" s="274" t="s">
        <v>6</v>
      </c>
      <c r="C13" s="274" t="s">
        <v>311</v>
      </c>
      <c r="D13" s="274" t="s">
        <v>261</v>
      </c>
      <c r="E13" s="274" t="s">
        <v>8</v>
      </c>
      <c r="F13" s="274" t="s">
        <v>807</v>
      </c>
      <c r="G13" s="274" t="s">
        <v>8</v>
      </c>
      <c r="H13" s="4" t="s">
        <v>6</v>
      </c>
      <c r="I13" s="4"/>
    </row>
    <row r="14" spans="1:12" x14ac:dyDescent="0.25">
      <c r="A14" s="4">
        <v>1</v>
      </c>
      <c r="B14" s="932">
        <v>303</v>
      </c>
      <c r="C14" s="992" t="s">
        <v>319</v>
      </c>
      <c r="D14" s="231">
        <v>0</v>
      </c>
      <c r="E14" s="932" t="s">
        <v>263</v>
      </c>
      <c r="F14" s="231">
        <v>0</v>
      </c>
      <c r="G14" s="569" t="s">
        <v>263</v>
      </c>
      <c r="H14" s="4">
        <f>A14</f>
        <v>1</v>
      </c>
      <c r="I14" s="4"/>
    </row>
    <row r="15" spans="1:12" x14ac:dyDescent="0.25">
      <c r="A15" s="4">
        <f>A14+1</f>
        <v>2</v>
      </c>
      <c r="B15" s="932">
        <v>350</v>
      </c>
      <c r="C15" s="992" t="s">
        <v>647</v>
      </c>
      <c r="D15" s="232">
        <v>0</v>
      </c>
      <c r="E15" s="998"/>
      <c r="F15" s="232">
        <v>0</v>
      </c>
      <c r="G15" s="890"/>
      <c r="H15" s="4">
        <f>H14+1</f>
        <v>2</v>
      </c>
      <c r="I15" s="4"/>
    </row>
    <row r="16" spans="1:12" x14ac:dyDescent="0.25">
      <c r="A16" s="4">
        <f t="shared" ref="A16:A29" si="0">A15+1</f>
        <v>3</v>
      </c>
      <c r="B16" s="947">
        <v>351.1</v>
      </c>
      <c r="C16" s="233" t="s">
        <v>1492</v>
      </c>
      <c r="D16" s="232">
        <v>0</v>
      </c>
      <c r="E16" s="1093"/>
      <c r="F16" s="232">
        <v>0</v>
      </c>
      <c r="G16" s="1094"/>
      <c r="H16" s="4">
        <f t="shared" ref="H16:H29" si="1">H15+1</f>
        <v>3</v>
      </c>
      <c r="I16" s="357"/>
    </row>
    <row r="17" spans="1:10" x14ac:dyDescent="0.25">
      <c r="A17" s="4">
        <f t="shared" si="0"/>
        <v>4</v>
      </c>
      <c r="B17" s="947">
        <v>351.2</v>
      </c>
      <c r="C17" s="233" t="s">
        <v>1493</v>
      </c>
      <c r="D17" s="232">
        <v>0</v>
      </c>
      <c r="E17" s="1093"/>
      <c r="F17" s="232">
        <v>0</v>
      </c>
      <c r="G17" s="1094"/>
      <c r="H17" s="4">
        <f t="shared" si="1"/>
        <v>4</v>
      </c>
      <c r="I17" s="357"/>
    </row>
    <row r="18" spans="1:10" x14ac:dyDescent="0.25">
      <c r="A18" s="4">
        <f t="shared" si="0"/>
        <v>5</v>
      </c>
      <c r="B18" s="947">
        <v>351.3</v>
      </c>
      <c r="C18" s="233" t="s">
        <v>1494</v>
      </c>
      <c r="D18" s="232">
        <v>0</v>
      </c>
      <c r="E18" s="1093"/>
      <c r="F18" s="232">
        <v>0</v>
      </c>
      <c r="G18" s="1094"/>
      <c r="H18" s="4">
        <f t="shared" si="1"/>
        <v>5</v>
      </c>
      <c r="I18" s="357"/>
    </row>
    <row r="19" spans="1:10" x14ac:dyDescent="0.25">
      <c r="A19" s="4">
        <f t="shared" si="0"/>
        <v>6</v>
      </c>
      <c r="B19" s="932">
        <v>352</v>
      </c>
      <c r="C19" s="233" t="s">
        <v>648</v>
      </c>
      <c r="D19" s="232">
        <v>0</v>
      </c>
      <c r="E19" s="998"/>
      <c r="F19" s="232">
        <v>0</v>
      </c>
      <c r="G19" s="890"/>
      <c r="H19" s="4">
        <f t="shared" si="1"/>
        <v>6</v>
      </c>
      <c r="I19" s="357"/>
    </row>
    <row r="20" spans="1:10" x14ac:dyDescent="0.25">
      <c r="A20" s="4">
        <f t="shared" si="0"/>
        <v>7</v>
      </c>
      <c r="B20" s="932">
        <v>353</v>
      </c>
      <c r="C20" s="233" t="s">
        <v>325</v>
      </c>
      <c r="D20" s="232">
        <v>0</v>
      </c>
      <c r="E20" s="998"/>
      <c r="F20" s="232">
        <v>0</v>
      </c>
      <c r="G20" s="890"/>
      <c r="H20" s="4">
        <f t="shared" si="1"/>
        <v>7</v>
      </c>
      <c r="I20" s="357"/>
    </row>
    <row r="21" spans="1:10" x14ac:dyDescent="0.25">
      <c r="A21" s="4">
        <f t="shared" si="0"/>
        <v>8</v>
      </c>
      <c r="B21" s="932">
        <v>354</v>
      </c>
      <c r="C21" s="233" t="s">
        <v>326</v>
      </c>
      <c r="D21" s="232">
        <v>0</v>
      </c>
      <c r="E21" s="998"/>
      <c r="F21" s="232">
        <v>0</v>
      </c>
      <c r="G21" s="890"/>
      <c r="H21" s="4">
        <f t="shared" si="1"/>
        <v>8</v>
      </c>
      <c r="I21" s="357"/>
    </row>
    <row r="22" spans="1:10" x14ac:dyDescent="0.25">
      <c r="A22" s="4">
        <f t="shared" si="0"/>
        <v>9</v>
      </c>
      <c r="B22" s="932">
        <v>355</v>
      </c>
      <c r="C22" s="233" t="s">
        <v>327</v>
      </c>
      <c r="D22" s="232">
        <v>0</v>
      </c>
      <c r="E22" s="998"/>
      <c r="F22" s="232">
        <v>0</v>
      </c>
      <c r="G22" s="890"/>
      <c r="H22" s="4">
        <f t="shared" si="1"/>
        <v>9</v>
      </c>
      <c r="I22" s="357"/>
    </row>
    <row r="23" spans="1:10" x14ac:dyDescent="0.25">
      <c r="A23" s="4">
        <f t="shared" si="0"/>
        <v>10</v>
      </c>
      <c r="B23" s="932">
        <v>356</v>
      </c>
      <c r="C23" s="233" t="s">
        <v>649</v>
      </c>
      <c r="D23" s="232">
        <v>0</v>
      </c>
      <c r="E23" s="998"/>
      <c r="F23" s="232">
        <v>0</v>
      </c>
      <c r="G23" s="890"/>
      <c r="H23" s="4">
        <f t="shared" si="1"/>
        <v>10</v>
      </c>
      <c r="I23" s="357"/>
    </row>
    <row r="24" spans="1:10" x14ac:dyDescent="0.25">
      <c r="A24" s="4">
        <f t="shared" si="0"/>
        <v>11</v>
      </c>
      <c r="B24" s="932">
        <v>357</v>
      </c>
      <c r="C24" s="233" t="s">
        <v>329</v>
      </c>
      <c r="D24" s="232">
        <v>0</v>
      </c>
      <c r="E24" s="998"/>
      <c r="F24" s="232">
        <v>0</v>
      </c>
      <c r="G24" s="890"/>
      <c r="H24" s="4">
        <f t="shared" si="1"/>
        <v>11</v>
      </c>
      <c r="I24" s="357"/>
    </row>
    <row r="25" spans="1:10" x14ac:dyDescent="0.25">
      <c r="A25" s="4">
        <f t="shared" si="0"/>
        <v>12</v>
      </c>
      <c r="B25" s="932">
        <v>358</v>
      </c>
      <c r="C25" s="233" t="s">
        <v>650</v>
      </c>
      <c r="D25" s="232">
        <v>0</v>
      </c>
      <c r="E25" s="998"/>
      <c r="F25" s="232">
        <v>0</v>
      </c>
      <c r="G25" s="890"/>
      <c r="H25" s="4">
        <f t="shared" si="1"/>
        <v>12</v>
      </c>
      <c r="I25" s="357"/>
    </row>
    <row r="26" spans="1:10" x14ac:dyDescent="0.25">
      <c r="A26" s="4">
        <f t="shared" si="0"/>
        <v>13</v>
      </c>
      <c r="B26" s="418">
        <v>359</v>
      </c>
      <c r="C26" s="284" t="s">
        <v>651</v>
      </c>
      <c r="D26" s="93">
        <v>0</v>
      </c>
      <c r="E26" s="591" t="s">
        <v>263</v>
      </c>
      <c r="F26" s="93">
        <v>0</v>
      </c>
      <c r="G26" s="591" t="s">
        <v>263</v>
      </c>
      <c r="H26" s="4">
        <f t="shared" si="1"/>
        <v>13</v>
      </c>
      <c r="I26" s="357"/>
    </row>
    <row r="27" spans="1:10" x14ac:dyDescent="0.25">
      <c r="A27" s="4">
        <f t="shared" si="0"/>
        <v>14</v>
      </c>
      <c r="B27" s="277"/>
      <c r="C27" s="277"/>
      <c r="D27" s="1034"/>
      <c r="E27" s="1034"/>
      <c r="F27" s="277"/>
      <c r="G27" s="1034"/>
      <c r="H27" s="4">
        <f t="shared" si="1"/>
        <v>14</v>
      </c>
      <c r="I27" s="357"/>
    </row>
    <row r="28" spans="1:10" x14ac:dyDescent="0.25">
      <c r="A28" s="4">
        <f t="shared" si="0"/>
        <v>15</v>
      </c>
      <c r="B28" s="277"/>
      <c r="C28" s="277" t="s">
        <v>808</v>
      </c>
      <c r="D28" s="1082">
        <f>SUM(D14:D26)</f>
        <v>0</v>
      </c>
      <c r="E28" s="932" t="s">
        <v>277</v>
      </c>
      <c r="F28" s="43">
        <f>SUM(F14:F26)</f>
        <v>0</v>
      </c>
      <c r="G28" s="932" t="s">
        <v>277</v>
      </c>
      <c r="H28" s="4">
        <f t="shared" si="1"/>
        <v>15</v>
      </c>
      <c r="I28" s="357"/>
      <c r="J28" s="441"/>
    </row>
    <row r="29" spans="1:10" x14ac:dyDescent="0.25">
      <c r="A29" s="4">
        <f t="shared" si="0"/>
        <v>16</v>
      </c>
      <c r="B29" s="116"/>
      <c r="C29" s="116"/>
      <c r="D29" s="442"/>
      <c r="E29" s="442"/>
      <c r="F29" s="116"/>
      <c r="G29" s="442"/>
      <c r="H29" s="4">
        <f t="shared" si="1"/>
        <v>16</v>
      </c>
      <c r="I29" s="357"/>
    </row>
    <row r="30" spans="1:10" x14ac:dyDescent="0.25">
      <c r="A30" s="4"/>
    </row>
    <row r="31" spans="1:10" x14ac:dyDescent="0.25">
      <c r="A31" s="4"/>
    </row>
  </sheetData>
  <mergeCells count="6">
    <mergeCell ref="B8:G8"/>
    <mergeCell ref="B2:G2"/>
    <mergeCell ref="B3:G3"/>
    <mergeCell ref="B4:G4"/>
    <mergeCell ref="B5:G5"/>
    <mergeCell ref="B6:G6"/>
  </mergeCells>
  <printOptions horizontalCentered="1"/>
  <pageMargins left="0.5" right="0.5" top="0.5" bottom="0.5" header="0.25" footer="0.25"/>
  <pageSetup scale="77" orientation="landscape" r:id="rId1"/>
  <headerFooter scaleWithDoc="0">
    <oddFooter>&amp;C&amp;"Times New Roman,Regular"&amp;10&amp;A</oddFooter>
  </headerFooter>
  <customProperties>
    <customPr name="_pios_id" r:id="rId2"/>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2:E22"/>
  <sheetViews>
    <sheetView zoomScale="80" zoomScaleNormal="80" workbookViewId="0">
      <selection activeCell="K35" sqref="K35"/>
    </sheetView>
  </sheetViews>
  <sheetFormatPr defaultColWidth="9.28515625" defaultRowHeight="15.75" x14ac:dyDescent="0.25"/>
  <cols>
    <col min="1" max="1" width="5.28515625" style="217" customWidth="1"/>
    <col min="2" max="2" width="35.28515625" style="1" customWidth="1"/>
    <col min="3" max="3" width="19.85546875" style="1" customWidth="1"/>
    <col min="4" max="4" width="62.5703125" style="1" customWidth="1"/>
    <col min="5" max="5" width="5.28515625" style="217" customWidth="1"/>
    <col min="6" max="6" width="24" style="1" customWidth="1"/>
    <col min="7" max="7" width="11" style="1" customWidth="1"/>
    <col min="8" max="8" width="7.28515625" style="1" customWidth="1"/>
    <col min="9" max="9" width="9.28515625" style="1" customWidth="1"/>
    <col min="10" max="10" width="14" style="1" customWidth="1"/>
    <col min="11" max="11" width="13.42578125" style="1" customWidth="1"/>
    <col min="12" max="16384" width="9.28515625" style="1"/>
  </cols>
  <sheetData>
    <row r="2" spans="1:5" x14ac:dyDescent="0.25">
      <c r="B2" s="1316" t="s">
        <v>0</v>
      </c>
      <c r="C2" s="1316"/>
      <c r="D2" s="1316"/>
    </row>
    <row r="3" spans="1:5" x14ac:dyDescent="0.25">
      <c r="B3" s="1316" t="s">
        <v>644</v>
      </c>
      <c r="C3" s="1316"/>
      <c r="D3" s="1316"/>
    </row>
    <row r="4" spans="1:5" x14ac:dyDescent="0.25">
      <c r="B4" s="1316" t="s">
        <v>728</v>
      </c>
      <c r="C4" s="1316"/>
      <c r="D4" s="1316"/>
    </row>
    <row r="5" spans="1:5" x14ac:dyDescent="0.25">
      <c r="B5" s="1316" t="str">
        <f>'AD-1'!B5</f>
        <v>BASE PERIOD / TRUE UP PERIOD - 12/31/2025 PER BOOK</v>
      </c>
      <c r="C5" s="1316"/>
      <c r="D5" s="1316"/>
    </row>
    <row r="6" spans="1:5" x14ac:dyDescent="0.25">
      <c r="B6" s="1312" t="s">
        <v>4</v>
      </c>
      <c r="C6" s="1312"/>
      <c r="D6" s="1312"/>
    </row>
    <row r="7" spans="1:5" x14ac:dyDescent="0.25">
      <c r="B7" s="266"/>
      <c r="C7" s="266"/>
      <c r="D7" s="266"/>
    </row>
    <row r="8" spans="1:5" x14ac:dyDescent="0.25">
      <c r="B8" s="1316" t="s">
        <v>809</v>
      </c>
      <c r="C8" s="1316"/>
      <c r="D8" s="1316"/>
    </row>
    <row r="10" spans="1:5" x14ac:dyDescent="0.25">
      <c r="B10" s="924"/>
      <c r="C10" s="925" t="s">
        <v>392</v>
      </c>
      <c r="D10" s="925"/>
    </row>
    <row r="11" spans="1:5" x14ac:dyDescent="0.25">
      <c r="B11" s="277"/>
      <c r="C11" s="269" t="s">
        <v>56</v>
      </c>
      <c r="D11" s="269"/>
    </row>
    <row r="12" spans="1:5" x14ac:dyDescent="0.25">
      <c r="B12" s="269"/>
      <c r="C12" s="269" t="s">
        <v>810</v>
      </c>
      <c r="D12" s="269"/>
    </row>
    <row r="13" spans="1:5" x14ac:dyDescent="0.25">
      <c r="A13" s="4"/>
      <c r="B13" s="269"/>
      <c r="C13" s="269" t="s">
        <v>811</v>
      </c>
      <c r="D13" s="269"/>
      <c r="E13" s="4"/>
    </row>
    <row r="14" spans="1:5" x14ac:dyDescent="0.25">
      <c r="A14" s="4" t="s">
        <v>5</v>
      </c>
      <c r="B14" s="272"/>
      <c r="C14" s="269" t="s">
        <v>812</v>
      </c>
      <c r="D14" s="269"/>
      <c r="E14" s="4" t="s">
        <v>5</v>
      </c>
    </row>
    <row r="15" spans="1:5" x14ac:dyDescent="0.25">
      <c r="A15" s="4" t="s">
        <v>6</v>
      </c>
      <c r="B15" s="274" t="s">
        <v>260</v>
      </c>
      <c r="C15" s="274" t="s">
        <v>261</v>
      </c>
      <c r="D15" s="274" t="s">
        <v>8</v>
      </c>
      <c r="E15" s="4" t="s">
        <v>6</v>
      </c>
    </row>
    <row r="16" spans="1:5" x14ac:dyDescent="0.25">
      <c r="A16" s="4"/>
      <c r="B16" s="453"/>
      <c r="C16" s="294"/>
      <c r="D16" s="1035"/>
      <c r="E16" s="4"/>
    </row>
    <row r="17" spans="1:5" x14ac:dyDescent="0.25">
      <c r="A17" s="4">
        <v>1</v>
      </c>
      <c r="B17" s="1004" t="str">
        <f>'AJ-4'!B13</f>
        <v>Dec-25</v>
      </c>
      <c r="C17" s="569">
        <v>0</v>
      </c>
      <c r="D17" s="939" t="s">
        <v>263</v>
      </c>
      <c r="E17" s="4">
        <f>A17</f>
        <v>1</v>
      </c>
    </row>
    <row r="18" spans="1:5" x14ac:dyDescent="0.25">
      <c r="A18" s="4">
        <f>A17+1</f>
        <v>2</v>
      </c>
      <c r="B18" s="116"/>
      <c r="C18" s="92"/>
      <c r="D18" s="116"/>
      <c r="E18" s="4">
        <f>E17+1</f>
        <v>2</v>
      </c>
    </row>
    <row r="19" spans="1:5" x14ac:dyDescent="0.25">
      <c r="A19" s="4"/>
      <c r="B19" s="31"/>
      <c r="C19" s="105"/>
      <c r="D19" s="31"/>
      <c r="E19" s="4"/>
    </row>
    <row r="20" spans="1:5" x14ac:dyDescent="0.25">
      <c r="A20" s="4"/>
      <c r="B20" s="31"/>
      <c r="C20" s="31"/>
      <c r="D20" s="31"/>
      <c r="E20" s="4"/>
    </row>
    <row r="21" spans="1:5" x14ac:dyDescent="0.25">
      <c r="B21" s="31"/>
      <c r="C21" s="31"/>
      <c r="D21" s="31"/>
    </row>
    <row r="22" spans="1:5" x14ac:dyDescent="0.25">
      <c r="B22" s="31"/>
      <c r="C22" s="31"/>
      <c r="D22" s="31"/>
    </row>
  </sheetData>
  <mergeCells count="6">
    <mergeCell ref="B8:D8"/>
    <mergeCell ref="B2:D2"/>
    <mergeCell ref="B3:D3"/>
    <mergeCell ref="B4:D4"/>
    <mergeCell ref="B5:D5"/>
    <mergeCell ref="B6:D6"/>
  </mergeCells>
  <printOptions horizontalCentered="1"/>
  <pageMargins left="0.5" right="0.5" top="0.5" bottom="0.5" header="0.25" footer="0.25"/>
  <pageSetup scale="99" orientation="landscape" r:id="rId1"/>
  <headerFooter scaleWithDoc="0">
    <oddFooter>&amp;C&amp;"Times New Roman,Regular"&amp;10&amp;A</oddFooter>
  </headerFooter>
  <customProperties>
    <customPr name="_pios_id" r:id="rId2"/>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2:E23"/>
  <sheetViews>
    <sheetView zoomScale="80" zoomScaleNormal="80" workbookViewId="0">
      <selection activeCell="J25" sqref="J25"/>
    </sheetView>
  </sheetViews>
  <sheetFormatPr defaultColWidth="9.28515625" defaultRowHeight="15.75" x14ac:dyDescent="0.25"/>
  <cols>
    <col min="1" max="1" width="5.28515625" style="217" customWidth="1"/>
    <col min="2" max="2" width="35.28515625" style="1" customWidth="1"/>
    <col min="3" max="3" width="20.140625" style="1" customWidth="1"/>
    <col min="4" max="4" width="62.5703125" style="1" customWidth="1"/>
    <col min="5" max="5" width="5.28515625" style="217" customWidth="1"/>
    <col min="6" max="6" width="24" style="1" customWidth="1"/>
    <col min="7" max="7" width="11" style="1" customWidth="1"/>
    <col min="8" max="8" width="7.28515625" style="1" customWidth="1"/>
    <col min="9" max="9" width="9.28515625" style="1" customWidth="1"/>
    <col min="10" max="10" width="14" style="1" customWidth="1"/>
    <col min="11" max="11" width="13.42578125" style="1" customWidth="1"/>
    <col min="12" max="16384" width="9.28515625" style="1"/>
  </cols>
  <sheetData>
    <row r="2" spans="1:5" x14ac:dyDescent="0.25">
      <c r="B2" s="1316" t="s">
        <v>0</v>
      </c>
      <c r="C2" s="1316"/>
      <c r="D2" s="1316"/>
    </row>
    <row r="3" spans="1:5" x14ac:dyDescent="0.25">
      <c r="B3" s="1316" t="s">
        <v>644</v>
      </c>
      <c r="C3" s="1316"/>
      <c r="D3" s="1316"/>
    </row>
    <row r="4" spans="1:5" x14ac:dyDescent="0.25">
      <c r="B4" s="1316" t="s">
        <v>728</v>
      </c>
      <c r="C4" s="1316"/>
      <c r="D4" s="1316"/>
    </row>
    <row r="5" spans="1:5" x14ac:dyDescent="0.25">
      <c r="B5" s="1316" t="str">
        <f>'AD-1'!B5</f>
        <v>BASE PERIOD / TRUE UP PERIOD - 12/31/2025 PER BOOK</v>
      </c>
      <c r="C5" s="1316"/>
      <c r="D5" s="1316"/>
    </row>
    <row r="6" spans="1:5" x14ac:dyDescent="0.25">
      <c r="B6" s="1312" t="s">
        <v>4</v>
      </c>
      <c r="C6" s="1312"/>
      <c r="D6" s="1312"/>
    </row>
    <row r="7" spans="1:5" x14ac:dyDescent="0.25">
      <c r="B7" s="266"/>
      <c r="C7" s="266"/>
      <c r="D7" s="266"/>
    </row>
    <row r="8" spans="1:5" x14ac:dyDescent="0.25">
      <c r="B8" s="1316" t="s">
        <v>813</v>
      </c>
      <c r="C8" s="1316"/>
      <c r="D8" s="1316"/>
    </row>
    <row r="10" spans="1:5" x14ac:dyDescent="0.25">
      <c r="B10" s="924"/>
      <c r="C10" s="925" t="s">
        <v>180</v>
      </c>
      <c r="D10" s="925"/>
      <c r="E10" s="4"/>
    </row>
    <row r="11" spans="1:5" x14ac:dyDescent="0.25">
      <c r="B11" s="277"/>
      <c r="C11" s="269" t="s">
        <v>56</v>
      </c>
      <c r="D11" s="269"/>
      <c r="E11" s="4"/>
    </row>
    <row r="12" spans="1:5" x14ac:dyDescent="0.25">
      <c r="B12" s="269"/>
      <c r="C12" s="269" t="s">
        <v>810</v>
      </c>
      <c r="D12" s="269"/>
      <c r="E12" s="4"/>
    </row>
    <row r="13" spans="1:5" x14ac:dyDescent="0.25">
      <c r="A13" s="4"/>
      <c r="B13" s="269"/>
      <c r="C13" s="269" t="s">
        <v>811</v>
      </c>
      <c r="D13" s="269"/>
      <c r="E13" s="4"/>
    </row>
    <row r="14" spans="1:5" x14ac:dyDescent="0.25">
      <c r="A14" s="4" t="s">
        <v>5</v>
      </c>
      <c r="B14" s="272"/>
      <c r="C14" s="269" t="s">
        <v>812</v>
      </c>
      <c r="D14" s="269"/>
      <c r="E14" s="4" t="s">
        <v>5</v>
      </c>
    </row>
    <row r="15" spans="1:5" x14ac:dyDescent="0.25">
      <c r="A15" s="4" t="s">
        <v>6</v>
      </c>
      <c r="B15" s="274" t="s">
        <v>260</v>
      </c>
      <c r="C15" s="274" t="s">
        <v>261</v>
      </c>
      <c r="D15" s="274" t="s">
        <v>8</v>
      </c>
      <c r="E15" s="4" t="s">
        <v>6</v>
      </c>
    </row>
    <row r="16" spans="1:5" x14ac:dyDescent="0.25">
      <c r="A16" s="4"/>
      <c r="B16" s="453"/>
      <c r="C16" s="294"/>
      <c r="D16" s="1035"/>
      <c r="E16" s="4"/>
    </row>
    <row r="17" spans="1:5" x14ac:dyDescent="0.25">
      <c r="A17" s="4">
        <v>1</v>
      </c>
      <c r="B17" s="1004" t="str">
        <f>'AJ-6'!B17</f>
        <v>Dec-25</v>
      </c>
      <c r="C17" s="569">
        <v>0</v>
      </c>
      <c r="D17" s="1036" t="s">
        <v>263</v>
      </c>
      <c r="E17" s="4">
        <f>A17</f>
        <v>1</v>
      </c>
    </row>
    <row r="18" spans="1:5" x14ac:dyDescent="0.25">
      <c r="A18" s="4">
        <f>A17+1</f>
        <v>2</v>
      </c>
      <c r="B18" s="116"/>
      <c r="C18" s="92"/>
      <c r="D18" s="116"/>
      <c r="E18" s="4">
        <f>E17+1</f>
        <v>2</v>
      </c>
    </row>
    <row r="19" spans="1:5" x14ac:dyDescent="0.25">
      <c r="A19" s="4"/>
      <c r="B19" s="31"/>
      <c r="C19" s="105"/>
      <c r="D19" s="31"/>
      <c r="E19" s="4"/>
    </row>
    <row r="20" spans="1:5" x14ac:dyDescent="0.25">
      <c r="B20" s="31"/>
      <c r="C20" s="31"/>
      <c r="D20" s="31"/>
      <c r="E20" s="4"/>
    </row>
    <row r="21" spans="1:5" x14ac:dyDescent="0.25">
      <c r="A21" s="261"/>
      <c r="B21" s="31"/>
      <c r="C21" s="31"/>
      <c r="D21" s="31"/>
      <c r="E21" s="4"/>
    </row>
    <row r="22" spans="1:5" x14ac:dyDescent="0.25">
      <c r="B22" s="31"/>
      <c r="C22" s="31"/>
      <c r="D22" s="31"/>
    </row>
    <row r="23" spans="1:5" x14ac:dyDescent="0.25">
      <c r="B23" s="31"/>
    </row>
  </sheetData>
  <mergeCells count="6">
    <mergeCell ref="B8:D8"/>
    <mergeCell ref="B2:D2"/>
    <mergeCell ref="B3:D3"/>
    <mergeCell ref="B4:D4"/>
    <mergeCell ref="B5:D5"/>
    <mergeCell ref="B6:D6"/>
  </mergeCells>
  <printOptions horizontalCentered="1"/>
  <pageMargins left="0.5" right="0.5" top="0.5" bottom="0.5" header="0.25" footer="0.25"/>
  <pageSetup scale="99" orientation="landscape" r:id="rId1"/>
  <headerFooter scaleWithDoc="0">
    <oddFooter>&amp;C&amp;"Times New Roman,Regular"&amp;10&amp;A</oddFooter>
  </headerFooter>
  <customProperties>
    <customPr name="_pios_id" r:id="rId2"/>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M28"/>
  <sheetViews>
    <sheetView topLeftCell="B10" zoomScaleNormal="100" workbookViewId="0">
      <selection activeCell="J25" sqref="J25"/>
    </sheetView>
  </sheetViews>
  <sheetFormatPr defaultColWidth="8.7109375" defaultRowHeight="15.75" x14ac:dyDescent="0.25"/>
  <cols>
    <col min="1" max="1" width="5.28515625" style="4" bestFit="1" customWidth="1"/>
    <col min="2" max="2" width="55.28515625" style="31" customWidth="1"/>
    <col min="3" max="3" width="24" style="31" customWidth="1"/>
    <col min="4" max="4" width="1.5703125" style="31" customWidth="1"/>
    <col min="5" max="5" width="16.7109375" style="31" customWidth="1"/>
    <col min="6" max="6" width="1.5703125" style="31" customWidth="1"/>
    <col min="7" max="7" width="34.5703125" style="31" customWidth="1"/>
    <col min="8" max="8" width="5.28515625" style="31" bestFit="1" customWidth="1"/>
    <col min="9" max="9" width="8.7109375" style="31"/>
    <col min="10" max="10" width="19.28515625" style="31" customWidth="1"/>
    <col min="11" max="11" width="17.7109375" style="31" customWidth="1"/>
    <col min="12" max="12" width="17.5703125" style="31" customWidth="1"/>
    <col min="13" max="16384" width="8.7109375" style="31"/>
  </cols>
  <sheetData>
    <row r="1" spans="1:11" x14ac:dyDescent="0.25">
      <c r="A1" s="4" t="s">
        <v>1</v>
      </c>
      <c r="G1" s="4"/>
      <c r="H1" s="4"/>
    </row>
    <row r="2" spans="1:11" x14ac:dyDescent="0.25">
      <c r="B2" s="1316" t="s">
        <v>0</v>
      </c>
      <c r="C2" s="1316"/>
      <c r="D2" s="1316"/>
      <c r="E2" s="1316"/>
      <c r="F2" s="1316"/>
      <c r="G2" s="1316"/>
      <c r="H2" s="4"/>
    </row>
    <row r="3" spans="1:11" x14ac:dyDescent="0.25">
      <c r="B3" s="1316" t="s">
        <v>814</v>
      </c>
      <c r="C3" s="1316"/>
      <c r="D3" s="1316"/>
      <c r="E3" s="1316"/>
      <c r="F3" s="1316"/>
      <c r="G3" s="1316"/>
      <c r="H3" s="4"/>
    </row>
    <row r="4" spans="1:11" x14ac:dyDescent="0.25">
      <c r="B4" s="1316" t="s">
        <v>815</v>
      </c>
      <c r="C4" s="1316"/>
      <c r="D4" s="1316"/>
      <c r="E4" s="1316"/>
      <c r="F4" s="1316"/>
      <c r="G4" s="1316"/>
      <c r="H4" s="4"/>
    </row>
    <row r="5" spans="1:11" x14ac:dyDescent="0.25">
      <c r="B5" s="1318" t="str">
        <f>'Stmt AD'!B5</f>
        <v>Base Period &amp; True-Up Period 12 - Months Ending December 31, 2025</v>
      </c>
      <c r="C5" s="1318"/>
      <c r="D5" s="1318"/>
      <c r="E5" s="1318"/>
      <c r="F5" s="1318"/>
      <c r="G5" s="1318"/>
      <c r="H5" s="4"/>
    </row>
    <row r="6" spans="1:11" x14ac:dyDescent="0.25">
      <c r="B6" s="1312" t="s">
        <v>4</v>
      </c>
      <c r="C6" s="1313"/>
      <c r="D6" s="1313"/>
      <c r="E6" s="1313"/>
      <c r="F6" s="1313"/>
      <c r="G6" s="1313"/>
      <c r="H6" s="4"/>
    </row>
    <row r="7" spans="1:11" x14ac:dyDescent="0.25">
      <c r="B7" s="4"/>
      <c r="C7" s="4"/>
      <c r="D7" s="4"/>
      <c r="E7" s="4"/>
      <c r="F7" s="4"/>
      <c r="G7" s="4"/>
      <c r="H7" s="4"/>
    </row>
    <row r="8" spans="1:11" x14ac:dyDescent="0.25">
      <c r="A8" s="4" t="s">
        <v>5</v>
      </c>
      <c r="B8" s="217"/>
      <c r="C8" s="4" t="s">
        <v>210</v>
      </c>
      <c r="D8" s="217"/>
      <c r="E8" s="217"/>
      <c r="F8" s="217"/>
      <c r="G8" s="4"/>
      <c r="H8" s="4" t="s">
        <v>5</v>
      </c>
    </row>
    <row r="9" spans="1:11" x14ac:dyDescent="0.25">
      <c r="A9" s="4" t="s">
        <v>6</v>
      </c>
      <c r="B9" s="217"/>
      <c r="C9" s="848" t="s">
        <v>212</v>
      </c>
      <c r="D9" s="217"/>
      <c r="E9" s="849" t="s">
        <v>7</v>
      </c>
      <c r="F9" s="217"/>
      <c r="G9" s="848" t="s">
        <v>8</v>
      </c>
      <c r="H9" s="4" t="s">
        <v>6</v>
      </c>
    </row>
    <row r="10" spans="1:11" x14ac:dyDescent="0.25">
      <c r="B10" s="4"/>
      <c r="C10" s="4"/>
      <c r="D10" s="4"/>
      <c r="E10" s="4"/>
      <c r="F10" s="217"/>
      <c r="G10" s="4"/>
      <c r="H10" s="4"/>
      <c r="J10" s="1278"/>
    </row>
    <row r="11" spans="1:11" ht="18.75" x14ac:dyDescent="0.25">
      <c r="A11" s="4">
        <v>1</v>
      </c>
      <c r="B11" s="31" t="s">
        <v>1616</v>
      </c>
      <c r="C11" s="4" t="s">
        <v>816</v>
      </c>
      <c r="E11" s="40">
        <v>225483.68299999999</v>
      </c>
      <c r="F11" s="217"/>
      <c r="G11" s="46"/>
      <c r="H11" s="4">
        <f>A11</f>
        <v>1</v>
      </c>
      <c r="J11" s="1279"/>
      <c r="K11" s="35"/>
    </row>
    <row r="12" spans="1:11" ht="16.149999999999999" customHeight="1" x14ac:dyDescent="0.25">
      <c r="A12" s="4">
        <f>+A11+1</f>
        <v>2</v>
      </c>
      <c r="E12" s="48"/>
      <c r="F12" s="217"/>
      <c r="G12" s="443"/>
      <c r="H12" s="4">
        <f>+H11+1</f>
        <v>2</v>
      </c>
      <c r="J12" s="1279"/>
    </row>
    <row r="13" spans="1:11" x14ac:dyDescent="0.25">
      <c r="A13" s="4">
        <f>+A12+1</f>
        <v>3</v>
      </c>
      <c r="B13" s="31" t="s">
        <v>493</v>
      </c>
      <c r="C13" s="29"/>
      <c r="D13" s="29"/>
      <c r="E13" s="923">
        <f>'Stmt AH'!E49</f>
        <v>0.36803411144754233</v>
      </c>
      <c r="F13" s="414"/>
      <c r="G13" s="4" t="s">
        <v>1699</v>
      </c>
      <c r="H13" s="4">
        <f>+H12+1</f>
        <v>3</v>
      </c>
      <c r="I13" s="358"/>
      <c r="J13" s="1280"/>
      <c r="K13" s="2"/>
    </row>
    <row r="14" spans="1:11" x14ac:dyDescent="0.25">
      <c r="A14" s="4">
        <f t="shared" ref="A14:A22" si="0">+A13+1</f>
        <v>4</v>
      </c>
      <c r="C14" s="29"/>
      <c r="D14" s="29"/>
      <c r="F14" s="217"/>
      <c r="G14" s="4"/>
      <c r="H14" s="4">
        <f t="shared" ref="H14:H22" si="1">+H13+1</f>
        <v>4</v>
      </c>
      <c r="I14" s="254"/>
    </row>
    <row r="15" spans="1:11" ht="16.5" thickBot="1" x14ac:dyDescent="0.3">
      <c r="A15" s="4">
        <f t="shared" si="0"/>
        <v>5</v>
      </c>
      <c r="B15" s="31" t="s">
        <v>818</v>
      </c>
      <c r="C15" s="29"/>
      <c r="D15" s="29"/>
      <c r="E15" s="24">
        <f>E11*E13</f>
        <v>82985.6869188243</v>
      </c>
      <c r="F15" s="217"/>
      <c r="G15" s="4" t="s">
        <v>832</v>
      </c>
      <c r="H15" s="4">
        <f t="shared" si="1"/>
        <v>5</v>
      </c>
    </row>
    <row r="16" spans="1:11" ht="17.25" thickTop="1" thickBot="1" x14ac:dyDescent="0.3">
      <c r="A16" s="4">
        <f t="shared" si="0"/>
        <v>6</v>
      </c>
      <c r="B16" s="862"/>
      <c r="C16" s="1037"/>
      <c r="D16" s="1037"/>
      <c r="E16" s="862"/>
      <c r="F16" s="862"/>
      <c r="G16" s="862"/>
      <c r="H16" s="4">
        <f t="shared" si="1"/>
        <v>6</v>
      </c>
    </row>
    <row r="17" spans="1:13" x14ac:dyDescent="0.25">
      <c r="A17" s="4">
        <f>+A16+1</f>
        <v>7</v>
      </c>
      <c r="C17" s="29"/>
      <c r="D17" s="29"/>
      <c r="H17" s="4">
        <f>+H16+1</f>
        <v>7</v>
      </c>
    </row>
    <row r="18" spans="1:13" ht="18.75" x14ac:dyDescent="0.25">
      <c r="A18" s="4">
        <f t="shared" ref="A18:A19" si="2">+A17+1</f>
        <v>8</v>
      </c>
      <c r="B18" s="31" t="s">
        <v>1618</v>
      </c>
      <c r="C18" s="4" t="s">
        <v>819</v>
      </c>
      <c r="E18" s="40">
        <v>18873.05</v>
      </c>
      <c r="F18" s="217"/>
      <c r="G18" s="90"/>
      <c r="H18" s="4">
        <f t="shared" si="1"/>
        <v>8</v>
      </c>
      <c r="J18" s="1281"/>
      <c r="K18" s="1285"/>
      <c r="L18"/>
      <c r="M18"/>
    </row>
    <row r="19" spans="1:13" x14ac:dyDescent="0.25">
      <c r="A19" s="4">
        <f t="shared" si="2"/>
        <v>9</v>
      </c>
      <c r="E19" s="70"/>
      <c r="F19" s="217"/>
      <c r="G19" s="46"/>
      <c r="H19" s="4">
        <f t="shared" si="1"/>
        <v>9</v>
      </c>
    </row>
    <row r="20" spans="1:13" x14ac:dyDescent="0.25">
      <c r="A20" s="4">
        <f t="shared" ref="A20" si="3">+A19+1</f>
        <v>10</v>
      </c>
      <c r="B20" s="31" t="s">
        <v>238</v>
      </c>
      <c r="E20" s="923">
        <f>'Stmt AI'!E25</f>
        <v>0.20710488637345756</v>
      </c>
      <c r="F20" s="217"/>
      <c r="G20" s="4" t="s">
        <v>239</v>
      </c>
      <c r="H20" s="4">
        <f t="shared" si="1"/>
        <v>10</v>
      </c>
      <c r="J20"/>
      <c r="K20"/>
    </row>
    <row r="21" spans="1:13" x14ac:dyDescent="0.25">
      <c r="A21" s="4">
        <f t="shared" ref="A21" si="4">+A20+1</f>
        <v>11</v>
      </c>
      <c r="E21" s="74"/>
      <c r="F21" s="217"/>
      <c r="G21" s="4"/>
      <c r="H21" s="4">
        <f t="shared" si="1"/>
        <v>11</v>
      </c>
    </row>
    <row r="22" spans="1:13" ht="16.5" thickBot="1" x14ac:dyDescent="0.3">
      <c r="A22" s="4">
        <f t="shared" si="0"/>
        <v>12</v>
      </c>
      <c r="B22" s="31" t="s">
        <v>820</v>
      </c>
      <c r="E22" s="24">
        <f>E18*E20</f>
        <v>3908.700875770583</v>
      </c>
      <c r="F22" s="217"/>
      <c r="G22" s="90" t="s">
        <v>1617</v>
      </c>
      <c r="H22" s="4">
        <f t="shared" si="1"/>
        <v>12</v>
      </c>
    </row>
    <row r="23" spans="1:13" ht="16.5" thickTop="1" x14ac:dyDescent="0.25">
      <c r="E23" s="10"/>
      <c r="F23" s="217"/>
      <c r="G23" s="444"/>
      <c r="H23" s="4"/>
      <c r="J23" s="357"/>
    </row>
    <row r="24" spans="1:13" x14ac:dyDescent="0.25">
      <c r="B24" s="31" t="s">
        <v>1</v>
      </c>
      <c r="E24" s="70"/>
      <c r="F24" s="70"/>
      <c r="J24" s="445"/>
    </row>
    <row r="25" spans="1:13" ht="18.75" x14ac:dyDescent="0.25">
      <c r="A25" s="252">
        <v>1</v>
      </c>
      <c r="B25" s="31" t="s">
        <v>1464</v>
      </c>
      <c r="J25" s="357"/>
    </row>
    <row r="26" spans="1:13" ht="18.75" x14ac:dyDescent="0.25">
      <c r="A26" s="823">
        <v>2</v>
      </c>
      <c r="B26" s="31" t="s">
        <v>1465</v>
      </c>
    </row>
    <row r="27" spans="1:13" x14ac:dyDescent="0.25">
      <c r="J27" s="446"/>
    </row>
    <row r="28" spans="1:13" x14ac:dyDescent="0.25">
      <c r="J28" s="446"/>
    </row>
  </sheetData>
  <mergeCells count="5">
    <mergeCell ref="B2:G2"/>
    <mergeCell ref="B3:G3"/>
    <mergeCell ref="B4:G4"/>
    <mergeCell ref="B5:G5"/>
    <mergeCell ref="B6:G6"/>
  </mergeCells>
  <printOptions horizontalCentered="1"/>
  <pageMargins left="0.5" right="0.5" top="0.5" bottom="0.5" header="0.25" footer="0.25"/>
  <pageSetup scale="66" orientation="portrait" r:id="rId1"/>
  <headerFooter scaleWithDoc="0">
    <oddFooter>&amp;C&amp;"Times New Roman,Regular"&amp;10&amp;A</oddFooter>
  </headerFooter>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H39"/>
  <sheetViews>
    <sheetView zoomScale="80" zoomScaleNormal="80" workbookViewId="0">
      <selection activeCell="F41" sqref="F41"/>
    </sheetView>
  </sheetViews>
  <sheetFormatPr defaultColWidth="9.28515625" defaultRowHeight="15.75" x14ac:dyDescent="0.25"/>
  <cols>
    <col min="1" max="1" width="5.28515625" style="217" customWidth="1"/>
    <col min="2" max="2" width="35.28515625" style="1" customWidth="1"/>
    <col min="3" max="3" width="18.5703125" style="86" customWidth="1"/>
    <col min="4" max="4" width="25.28515625" style="1" customWidth="1"/>
    <col min="5" max="5" width="18.5703125" style="1" customWidth="1"/>
    <col min="6" max="6" width="62.5703125" style="1" customWidth="1"/>
    <col min="7" max="7" width="5.28515625" style="217" customWidth="1"/>
    <col min="8" max="8" width="24" style="1" customWidth="1"/>
    <col min="9" max="9" width="11" style="1" customWidth="1"/>
    <col min="10" max="10" width="7.28515625" style="1" customWidth="1"/>
    <col min="11" max="11" width="9.28515625" style="1" customWidth="1"/>
    <col min="12" max="12" width="14" style="1" customWidth="1"/>
    <col min="13" max="13" width="13.42578125" style="1" customWidth="1"/>
    <col min="14" max="16384" width="9.28515625" style="1"/>
  </cols>
  <sheetData>
    <row r="2" spans="1:8" x14ac:dyDescent="0.25">
      <c r="B2" s="1316" t="s">
        <v>0</v>
      </c>
      <c r="C2" s="1316"/>
      <c r="D2" s="1316"/>
      <c r="E2" s="1316"/>
      <c r="F2" s="1316"/>
    </row>
    <row r="3" spans="1:8" x14ac:dyDescent="0.25">
      <c r="B3" s="1316" t="s">
        <v>255</v>
      </c>
      <c r="C3" s="1316"/>
      <c r="D3" s="1316"/>
      <c r="E3" s="1316"/>
      <c r="F3" s="1316"/>
    </row>
    <row r="4" spans="1:8" x14ac:dyDescent="0.25">
      <c r="B4" s="1316" t="s">
        <v>256</v>
      </c>
      <c r="C4" s="1316"/>
      <c r="D4" s="1316"/>
      <c r="E4" s="1316"/>
      <c r="F4" s="1316"/>
    </row>
    <row r="5" spans="1:8" x14ac:dyDescent="0.25">
      <c r="B5" s="1316" t="str">
        <f>'AD-1'!B5</f>
        <v>BASE PERIOD / TRUE UP PERIOD - 12/31/2025 PER BOOK</v>
      </c>
      <c r="C5" s="1316"/>
      <c r="D5" s="1316"/>
      <c r="E5" s="1316"/>
      <c r="F5" s="1316"/>
    </row>
    <row r="6" spans="1:8" x14ac:dyDescent="0.25">
      <c r="B6" s="1312" t="s">
        <v>4</v>
      </c>
      <c r="C6" s="1312"/>
      <c r="D6" s="1312"/>
      <c r="E6" s="1312"/>
      <c r="F6" s="1312"/>
    </row>
    <row r="7" spans="1:8" x14ac:dyDescent="0.25">
      <c r="B7" s="266"/>
      <c r="C7" s="267"/>
      <c r="D7" s="266"/>
      <c r="E7" s="266"/>
      <c r="F7" s="266"/>
    </row>
    <row r="8" spans="1:8" x14ac:dyDescent="0.25">
      <c r="B8" s="1316" t="s">
        <v>283</v>
      </c>
      <c r="C8" s="1316"/>
      <c r="D8" s="1316"/>
      <c r="E8" s="1316"/>
      <c r="F8" s="1316"/>
    </row>
    <row r="10" spans="1:8" x14ac:dyDescent="0.25">
      <c r="B10" s="924"/>
      <c r="C10" s="268" t="s">
        <v>180</v>
      </c>
      <c r="D10" s="925"/>
      <c r="E10" s="268"/>
      <c r="F10" s="925"/>
    </row>
    <row r="11" spans="1:8" x14ac:dyDescent="0.25">
      <c r="B11" s="269"/>
      <c r="C11" s="273" t="s">
        <v>284</v>
      </c>
      <c r="D11" s="269"/>
      <c r="E11" s="273" t="s">
        <v>284</v>
      </c>
      <c r="F11" s="269"/>
      <c r="H11" s="280"/>
    </row>
    <row r="12" spans="1:8" x14ac:dyDescent="0.25">
      <c r="A12" s="4" t="s">
        <v>5</v>
      </c>
      <c r="B12" s="272"/>
      <c r="C12" s="217" t="s">
        <v>259</v>
      </c>
      <c r="D12" s="269"/>
      <c r="E12" s="273" t="s">
        <v>259</v>
      </c>
      <c r="F12" s="269"/>
      <c r="G12" s="4" t="s">
        <v>5</v>
      </c>
      <c r="H12" s="280"/>
    </row>
    <row r="13" spans="1:8" ht="18.75" x14ac:dyDescent="0.25">
      <c r="A13" s="4" t="s">
        <v>6</v>
      </c>
      <c r="B13" s="274" t="s">
        <v>260</v>
      </c>
      <c r="C13" s="927" t="s">
        <v>261</v>
      </c>
      <c r="D13" s="274" t="s">
        <v>8</v>
      </c>
      <c r="E13" s="275" t="s">
        <v>262</v>
      </c>
      <c r="F13" s="274" t="s">
        <v>8</v>
      </c>
      <c r="G13" s="4" t="s">
        <v>6</v>
      </c>
      <c r="H13" s="280"/>
    </row>
    <row r="14" spans="1:8" x14ac:dyDescent="0.25">
      <c r="A14" s="4">
        <v>1</v>
      </c>
      <c r="B14" s="928" t="str">
        <f>'AD-1'!B14</f>
        <v>Dec-24</v>
      </c>
      <c r="C14" s="58">
        <v>0</v>
      </c>
      <c r="D14" s="929" t="s">
        <v>263</v>
      </c>
      <c r="E14" s="58">
        <v>0</v>
      </c>
      <c r="F14" s="929" t="s">
        <v>264</v>
      </c>
      <c r="G14" s="4">
        <f>A14</f>
        <v>1</v>
      </c>
      <c r="H14" s="276"/>
    </row>
    <row r="15" spans="1:8" x14ac:dyDescent="0.25">
      <c r="A15" s="4">
        <f>A14+1</f>
        <v>2</v>
      </c>
      <c r="B15" s="928" t="str">
        <f>'AD-1'!B15</f>
        <v>Jan-25</v>
      </c>
      <c r="C15" s="52">
        <v>0</v>
      </c>
      <c r="D15" s="930"/>
      <c r="E15" s="52">
        <v>0</v>
      </c>
      <c r="F15" s="930"/>
      <c r="G15" s="4">
        <f>G14+1</f>
        <v>2</v>
      </c>
    </row>
    <row r="16" spans="1:8" x14ac:dyDescent="0.25">
      <c r="A16" s="4">
        <f t="shared" ref="A16:A32" si="0">A15+1</f>
        <v>3</v>
      </c>
      <c r="B16" s="931" t="s">
        <v>265</v>
      </c>
      <c r="C16" s="52">
        <v>0</v>
      </c>
      <c r="D16" s="930"/>
      <c r="E16" s="52">
        <v>0</v>
      </c>
      <c r="F16" s="930"/>
      <c r="G16" s="4">
        <f t="shared" ref="G16:G32" si="1">G15+1</f>
        <v>3</v>
      </c>
    </row>
    <row r="17" spans="1:8" x14ac:dyDescent="0.25">
      <c r="A17" s="4">
        <f t="shared" si="0"/>
        <v>4</v>
      </c>
      <c r="B17" s="931" t="s">
        <v>266</v>
      </c>
      <c r="C17" s="52">
        <v>0</v>
      </c>
      <c r="D17" s="930"/>
      <c r="E17" s="52">
        <v>0</v>
      </c>
      <c r="F17" s="930"/>
      <c r="G17" s="4">
        <f t="shared" si="1"/>
        <v>4</v>
      </c>
    </row>
    <row r="18" spans="1:8" x14ac:dyDescent="0.25">
      <c r="A18" s="4">
        <f t="shared" si="0"/>
        <v>5</v>
      </c>
      <c r="B18" s="931" t="s">
        <v>267</v>
      </c>
      <c r="C18" s="52">
        <v>0</v>
      </c>
      <c r="D18" s="930"/>
      <c r="E18" s="52">
        <v>0</v>
      </c>
      <c r="F18" s="930"/>
      <c r="G18" s="4">
        <f t="shared" si="1"/>
        <v>5</v>
      </c>
    </row>
    <row r="19" spans="1:8" x14ac:dyDescent="0.25">
      <c r="A19" s="4">
        <f t="shared" si="0"/>
        <v>6</v>
      </c>
      <c r="B19" s="931" t="s">
        <v>268</v>
      </c>
      <c r="C19" s="52">
        <v>0</v>
      </c>
      <c r="D19" s="930"/>
      <c r="E19" s="52">
        <v>0</v>
      </c>
      <c r="F19" s="930"/>
      <c r="G19" s="4">
        <f t="shared" si="1"/>
        <v>6</v>
      </c>
    </row>
    <row r="20" spans="1:8" x14ac:dyDescent="0.25">
      <c r="A20" s="4">
        <f>A19+1</f>
        <v>7</v>
      </c>
      <c r="B20" s="931" t="s">
        <v>269</v>
      </c>
      <c r="C20" s="52">
        <v>0</v>
      </c>
      <c r="D20" s="930"/>
      <c r="E20" s="52">
        <v>0</v>
      </c>
      <c r="F20" s="930"/>
      <c r="G20" s="4">
        <f>G19+1</f>
        <v>7</v>
      </c>
    </row>
    <row r="21" spans="1:8" x14ac:dyDescent="0.25">
      <c r="A21" s="4">
        <f t="shared" si="0"/>
        <v>8</v>
      </c>
      <c r="B21" s="931" t="s">
        <v>270</v>
      </c>
      <c r="C21" s="52">
        <v>0</v>
      </c>
      <c r="D21" s="930"/>
      <c r="E21" s="52">
        <v>0</v>
      </c>
      <c r="F21" s="930"/>
      <c r="G21" s="4">
        <f t="shared" si="1"/>
        <v>8</v>
      </c>
    </row>
    <row r="22" spans="1:8" x14ac:dyDescent="0.25">
      <c r="A22" s="4">
        <f t="shared" si="0"/>
        <v>9</v>
      </c>
      <c r="B22" s="931" t="s">
        <v>271</v>
      </c>
      <c r="C22" s="52">
        <v>0</v>
      </c>
      <c r="D22" s="930"/>
      <c r="E22" s="52">
        <v>0</v>
      </c>
      <c r="F22" s="930"/>
      <c r="G22" s="4">
        <f t="shared" si="1"/>
        <v>9</v>
      </c>
    </row>
    <row r="23" spans="1:8" x14ac:dyDescent="0.25">
      <c r="A23" s="4">
        <f t="shared" si="0"/>
        <v>10</v>
      </c>
      <c r="B23" s="931" t="s">
        <v>272</v>
      </c>
      <c r="C23" s="52">
        <v>0</v>
      </c>
      <c r="D23" s="930"/>
      <c r="E23" s="52">
        <v>0</v>
      </c>
      <c r="F23" s="930"/>
      <c r="G23" s="4">
        <f t="shared" si="1"/>
        <v>10</v>
      </c>
    </row>
    <row r="24" spans="1:8" x14ac:dyDescent="0.25">
      <c r="A24" s="4">
        <f t="shared" si="0"/>
        <v>11</v>
      </c>
      <c r="B24" s="931" t="s">
        <v>273</v>
      </c>
      <c r="C24" s="52">
        <v>0</v>
      </c>
      <c r="D24" s="930"/>
      <c r="E24" s="52">
        <v>0</v>
      </c>
      <c r="F24" s="930"/>
      <c r="G24" s="4">
        <f t="shared" si="1"/>
        <v>11</v>
      </c>
    </row>
    <row r="25" spans="1:8" x14ac:dyDescent="0.25">
      <c r="A25" s="4">
        <f t="shared" si="0"/>
        <v>12</v>
      </c>
      <c r="B25" s="931" t="s">
        <v>274</v>
      </c>
      <c r="C25" s="52">
        <v>0</v>
      </c>
      <c r="D25" s="930"/>
      <c r="E25" s="52">
        <v>0</v>
      </c>
      <c r="F25" s="930"/>
      <c r="G25" s="4">
        <f t="shared" si="1"/>
        <v>12</v>
      </c>
    </row>
    <row r="26" spans="1:8" x14ac:dyDescent="0.25">
      <c r="A26" s="4">
        <f t="shared" si="0"/>
        <v>13</v>
      </c>
      <c r="B26" s="629" t="str">
        <f>'AD-1'!B26</f>
        <v>Dec-25</v>
      </c>
      <c r="C26" s="53">
        <v>0</v>
      </c>
      <c r="D26" s="283" t="s">
        <v>263</v>
      </c>
      <c r="E26" s="53">
        <v>0</v>
      </c>
      <c r="F26" s="929" t="s">
        <v>275</v>
      </c>
      <c r="G26" s="4">
        <f t="shared" si="1"/>
        <v>13</v>
      </c>
      <c r="H26" s="276"/>
    </row>
    <row r="27" spans="1:8" x14ac:dyDescent="0.25">
      <c r="A27" s="4">
        <f t="shared" si="0"/>
        <v>14</v>
      </c>
      <c r="B27" s="277"/>
      <c r="C27" s="59"/>
      <c r="D27" s="277"/>
      <c r="E27" s="60"/>
      <c r="F27" s="924"/>
      <c r="G27" s="4">
        <f t="shared" si="1"/>
        <v>14</v>
      </c>
    </row>
    <row r="28" spans="1:8" x14ac:dyDescent="0.25">
      <c r="A28" s="4">
        <f t="shared" si="0"/>
        <v>15</v>
      </c>
      <c r="B28" s="277" t="s">
        <v>276</v>
      </c>
      <c r="C28" s="55">
        <f>SUM(C14:C26)</f>
        <v>0</v>
      </c>
      <c r="D28" s="932" t="s">
        <v>277</v>
      </c>
      <c r="E28" s="55">
        <f>SUM(E14:E26)</f>
        <v>0</v>
      </c>
      <c r="F28" s="932" t="s">
        <v>277</v>
      </c>
      <c r="G28" s="4">
        <f t="shared" si="1"/>
        <v>15</v>
      </c>
    </row>
    <row r="29" spans="1:8" x14ac:dyDescent="0.25">
      <c r="A29" s="4">
        <f t="shared" si="0"/>
        <v>16</v>
      </c>
      <c r="B29" s="116"/>
      <c r="C29" s="56"/>
      <c r="D29" s="116"/>
      <c r="E29" s="56"/>
      <c r="F29" s="116"/>
      <c r="G29" s="4">
        <f t="shared" si="1"/>
        <v>16</v>
      </c>
    </row>
    <row r="30" spans="1:8" x14ac:dyDescent="0.25">
      <c r="A30" s="4">
        <f t="shared" si="0"/>
        <v>17</v>
      </c>
      <c r="B30" s="277"/>
      <c r="C30" s="60"/>
      <c r="D30" s="277"/>
      <c r="E30" s="60"/>
      <c r="F30" s="277"/>
      <c r="G30" s="4">
        <f t="shared" si="1"/>
        <v>17</v>
      </c>
    </row>
    <row r="31" spans="1:8" x14ac:dyDescent="0.25">
      <c r="A31" s="4">
        <f t="shared" si="0"/>
        <v>18</v>
      </c>
      <c r="B31" s="277" t="s">
        <v>278</v>
      </c>
      <c r="C31" s="55">
        <f>C28/13</f>
        <v>0</v>
      </c>
      <c r="D31" s="932" t="s">
        <v>279</v>
      </c>
      <c r="E31" s="55">
        <f>E28/13</f>
        <v>0</v>
      </c>
      <c r="F31" s="929" t="s">
        <v>280</v>
      </c>
      <c r="G31" s="4">
        <f t="shared" si="1"/>
        <v>18</v>
      </c>
      <c r="H31" s="276"/>
    </row>
    <row r="32" spans="1:8" x14ac:dyDescent="0.25">
      <c r="A32" s="4">
        <f t="shared" si="0"/>
        <v>19</v>
      </c>
      <c r="B32" s="116"/>
      <c r="C32" s="61"/>
      <c r="D32" s="116"/>
      <c r="E32" s="61"/>
      <c r="F32" s="116"/>
      <c r="G32" s="4">
        <f t="shared" si="1"/>
        <v>19</v>
      </c>
    </row>
    <row r="33" spans="1:7" x14ac:dyDescent="0.25">
      <c r="B33" s="31"/>
      <c r="C33" s="6"/>
      <c r="D33" s="31"/>
      <c r="E33" s="6"/>
      <c r="F33" s="31"/>
      <c r="G33" s="579"/>
    </row>
    <row r="34" spans="1:7" x14ac:dyDescent="0.25">
      <c r="C34" s="6"/>
      <c r="D34" s="31"/>
      <c r="E34" s="6"/>
      <c r="F34" s="31"/>
      <c r="G34" s="579"/>
    </row>
    <row r="35" spans="1:7" ht="18.75" x14ac:dyDescent="0.25">
      <c r="A35" s="265">
        <v>1</v>
      </c>
      <c r="B35" s="31" t="s">
        <v>281</v>
      </c>
      <c r="C35" s="281"/>
      <c r="D35" s="31"/>
      <c r="E35" s="281"/>
      <c r="F35" s="31"/>
      <c r="G35" s="579"/>
    </row>
    <row r="36" spans="1:7" x14ac:dyDescent="0.25">
      <c r="B36" s="31" t="s">
        <v>282</v>
      </c>
      <c r="C36" s="281"/>
      <c r="D36" s="31"/>
      <c r="E36" s="281"/>
      <c r="F36" s="31"/>
      <c r="G36" s="579"/>
    </row>
    <row r="37" spans="1:7" x14ac:dyDescent="0.25">
      <c r="C37" s="281"/>
      <c r="D37" s="31"/>
      <c r="E37" s="281"/>
      <c r="F37" s="31"/>
      <c r="G37" s="579"/>
    </row>
    <row r="38" spans="1:7" x14ac:dyDescent="0.25">
      <c r="C38" s="281"/>
      <c r="D38" s="31"/>
      <c r="E38" s="281"/>
      <c r="F38" s="31"/>
      <c r="G38" s="579"/>
    </row>
    <row r="39" spans="1:7" x14ac:dyDescent="0.25">
      <c r="C39" s="280"/>
      <c r="E39" s="280"/>
      <c r="G39" s="579"/>
    </row>
  </sheetData>
  <mergeCells count="6">
    <mergeCell ref="B8:F8"/>
    <mergeCell ref="B5:F5"/>
    <mergeCell ref="B2:F2"/>
    <mergeCell ref="B3:F3"/>
    <mergeCell ref="B4:F4"/>
    <mergeCell ref="B6:F6"/>
  </mergeCells>
  <printOptions horizontalCentered="1"/>
  <pageMargins left="0.5" right="0.5" top="0.5" bottom="0.5" header="0.25" footer="0.25"/>
  <pageSetup scale="75" orientation="landscape" r:id="rId1"/>
  <headerFooter scaleWithDoc="0">
    <oddFooter>&amp;C&amp;"Times New Roman,Regular"&amp;10&amp;A</oddFooter>
  </headerFooter>
  <customProperties>
    <customPr name="_pios_id" r:id="rId2"/>
  </customPropertie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Z51"/>
  <sheetViews>
    <sheetView zoomScale="80" zoomScaleNormal="80" workbookViewId="0">
      <selection activeCell="G13" sqref="G13"/>
    </sheetView>
  </sheetViews>
  <sheetFormatPr defaultColWidth="8.7109375" defaultRowHeight="15.75" x14ac:dyDescent="0.25"/>
  <cols>
    <col min="1" max="1" width="5.28515625" style="4" bestFit="1" customWidth="1"/>
    <col min="2" max="2" width="79.42578125" style="31" customWidth="1"/>
    <col min="3" max="3" width="25.5703125" style="357" bestFit="1" customWidth="1"/>
    <col min="4" max="4" width="1.5703125" style="31" customWidth="1"/>
    <col min="5" max="5" width="16.7109375" style="31" customWidth="1"/>
    <col min="6" max="6" width="1.5703125" style="31" customWidth="1"/>
    <col min="7" max="7" width="16.7109375" style="31" customWidth="1"/>
    <col min="8" max="8" width="1.5703125" style="31" customWidth="1"/>
    <col min="9" max="9" width="49.85546875" style="31" bestFit="1" customWidth="1"/>
    <col min="10" max="10" width="5.28515625" style="31" customWidth="1"/>
    <col min="11" max="16384" width="8.7109375" style="31"/>
  </cols>
  <sheetData>
    <row r="1" spans="1:14" x14ac:dyDescent="0.25">
      <c r="H1" s="4"/>
      <c r="I1" s="4"/>
      <c r="J1" s="4"/>
    </row>
    <row r="2" spans="1:14" x14ac:dyDescent="0.25">
      <c r="B2" s="1316" t="s">
        <v>0</v>
      </c>
      <c r="C2" s="1324"/>
      <c r="D2" s="1324"/>
      <c r="E2" s="1324"/>
      <c r="F2" s="1324"/>
      <c r="G2" s="1324"/>
      <c r="H2" s="1324"/>
      <c r="I2" s="1324"/>
      <c r="J2" s="217"/>
    </row>
    <row r="3" spans="1:14" x14ac:dyDescent="0.25">
      <c r="B3" s="1316" t="s">
        <v>821</v>
      </c>
      <c r="C3" s="1324"/>
      <c r="D3" s="1324"/>
      <c r="E3" s="1324"/>
      <c r="F3" s="1324"/>
      <c r="G3" s="1324"/>
      <c r="H3" s="1324"/>
      <c r="I3" s="1324"/>
      <c r="J3" s="217"/>
    </row>
    <row r="4" spans="1:14" x14ac:dyDescent="0.25">
      <c r="B4" s="1316" t="s">
        <v>822</v>
      </c>
      <c r="C4" s="1324"/>
      <c r="D4" s="1324"/>
      <c r="E4" s="1324"/>
      <c r="F4" s="1324"/>
      <c r="G4" s="1324"/>
      <c r="H4" s="1324"/>
      <c r="I4" s="1324"/>
      <c r="J4" s="217"/>
    </row>
    <row r="5" spans="1:14" x14ac:dyDescent="0.25">
      <c r="B5" s="1318" t="str">
        <f>'Stmt AD'!B5</f>
        <v>Base Period &amp; True-Up Period 12 - Months Ending December 31, 2025</v>
      </c>
      <c r="C5" s="1318"/>
      <c r="D5" s="1318"/>
      <c r="E5" s="1318"/>
      <c r="F5" s="1318"/>
      <c r="G5" s="1318"/>
      <c r="H5" s="1318"/>
      <c r="I5" s="1318"/>
      <c r="J5" s="217"/>
    </row>
    <row r="6" spans="1:14" x14ac:dyDescent="0.25">
      <c r="B6" s="1312" t="s">
        <v>4</v>
      </c>
      <c r="C6" s="1312"/>
      <c r="D6" s="1312"/>
      <c r="E6" s="1312"/>
      <c r="F6" s="1312"/>
      <c r="G6" s="1312"/>
      <c r="H6" s="1312"/>
      <c r="I6" s="1312"/>
      <c r="J6" s="1"/>
    </row>
    <row r="7" spans="1:14" x14ac:dyDescent="0.25">
      <c r="B7" s="4"/>
      <c r="D7" s="4"/>
      <c r="E7" s="4"/>
      <c r="F7" s="4"/>
      <c r="G7" s="4"/>
      <c r="H7" s="217"/>
      <c r="I7" s="217"/>
      <c r="J7" s="217"/>
    </row>
    <row r="8" spans="1:14" x14ac:dyDescent="0.25">
      <c r="A8" s="4" t="s">
        <v>5</v>
      </c>
      <c r="B8" s="217"/>
      <c r="C8" s="4" t="s">
        <v>210</v>
      </c>
      <c r="D8" s="4"/>
      <c r="E8" s="4" t="s">
        <v>823</v>
      </c>
      <c r="F8" s="4"/>
      <c r="G8" s="4" t="s">
        <v>824</v>
      </c>
      <c r="H8" s="217"/>
      <c r="I8" s="217"/>
      <c r="J8" s="4" t="s">
        <v>5</v>
      </c>
    </row>
    <row r="9" spans="1:14" x14ac:dyDescent="0.25">
      <c r="A9" s="4" t="s">
        <v>6</v>
      </c>
      <c r="B9" s="217"/>
      <c r="C9" s="848" t="s">
        <v>212</v>
      </c>
      <c r="D9" s="217"/>
      <c r="E9" s="849" t="s">
        <v>825</v>
      </c>
      <c r="F9" s="217"/>
      <c r="G9" s="849" t="s">
        <v>213</v>
      </c>
      <c r="H9" s="217"/>
      <c r="I9" s="848" t="s">
        <v>8</v>
      </c>
      <c r="J9" s="4" t="s">
        <v>6</v>
      </c>
    </row>
    <row r="10" spans="1:14" x14ac:dyDescent="0.25">
      <c r="B10" s="4"/>
      <c r="D10" s="4"/>
      <c r="E10" s="4"/>
      <c r="F10" s="4"/>
      <c r="G10" s="4"/>
      <c r="H10" s="4"/>
      <c r="I10" s="4"/>
      <c r="J10" s="4"/>
    </row>
    <row r="11" spans="1:14" ht="18.75" x14ac:dyDescent="0.25">
      <c r="A11" s="4">
        <v>1</v>
      </c>
      <c r="B11" s="31" t="s">
        <v>826</v>
      </c>
      <c r="C11" s="4" t="s">
        <v>827</v>
      </c>
      <c r="E11" s="48"/>
      <c r="F11" s="71"/>
      <c r="G11" s="40">
        <f>'AL-1'!C32</f>
        <v>230231.57138461538</v>
      </c>
      <c r="H11" s="71"/>
      <c r="I11" s="46" t="s">
        <v>828</v>
      </c>
      <c r="J11" s="4">
        <f>A11</f>
        <v>1</v>
      </c>
    </row>
    <row r="12" spans="1:14" x14ac:dyDescent="0.25">
      <c r="A12" s="4">
        <f>+A11+1</f>
        <v>2</v>
      </c>
      <c r="C12" s="4"/>
      <c r="E12" s="70"/>
      <c r="F12" s="41"/>
      <c r="G12" s="41"/>
      <c r="H12" s="41"/>
      <c r="I12" s="46"/>
      <c r="J12" s="4">
        <f>+J11+1</f>
        <v>2</v>
      </c>
    </row>
    <row r="13" spans="1:14" x14ac:dyDescent="0.25">
      <c r="A13" s="4">
        <f t="shared" ref="A13:A46" si="0">+A12+1</f>
        <v>3</v>
      </c>
      <c r="B13" s="31" t="s">
        <v>1847</v>
      </c>
      <c r="D13" s="254"/>
      <c r="E13" s="1203"/>
      <c r="F13" s="1204"/>
      <c r="G13" s="968">
        <f>'AL-1.1'!E21</f>
        <v>0.25555975280486259</v>
      </c>
      <c r="H13" s="1205"/>
      <c r="I13" s="46" t="s">
        <v>1848</v>
      </c>
      <c r="J13" s="4">
        <f t="shared" ref="J13:J46" si="1">+J12+1</f>
        <v>3</v>
      </c>
      <c r="L13" s="276"/>
      <c r="M13" s="276"/>
      <c r="N13" s="276"/>
    </row>
    <row r="14" spans="1:14" x14ac:dyDescent="0.25">
      <c r="A14" s="4">
        <f t="shared" si="0"/>
        <v>4</v>
      </c>
      <c r="C14" s="4"/>
      <c r="E14" s="70"/>
      <c r="F14" s="41"/>
      <c r="G14" s="70"/>
      <c r="H14" s="41"/>
      <c r="I14" s="46"/>
      <c r="J14" s="4">
        <f t="shared" si="1"/>
        <v>4</v>
      </c>
      <c r="L14" s="276"/>
      <c r="M14" s="276"/>
      <c r="N14" s="276"/>
    </row>
    <row r="15" spans="1:14" ht="16.5" thickBot="1" x14ac:dyDescent="0.3">
      <c r="A15" s="4">
        <f t="shared" si="0"/>
        <v>5</v>
      </c>
      <c r="B15" s="31" t="s">
        <v>831</v>
      </c>
      <c r="C15" s="4"/>
      <c r="E15" s="75"/>
      <c r="F15" s="41"/>
      <c r="G15" s="77">
        <f>G11*G13</f>
        <v>58837.923470927381</v>
      </c>
      <c r="H15" s="71"/>
      <c r="I15" s="46" t="s">
        <v>832</v>
      </c>
      <c r="J15" s="4">
        <f t="shared" si="1"/>
        <v>5</v>
      </c>
      <c r="L15" s="276"/>
      <c r="M15" s="276"/>
      <c r="N15" s="276"/>
    </row>
    <row r="16" spans="1:14" ht="16.5" thickTop="1" x14ac:dyDescent="0.25">
      <c r="A16" s="4">
        <f t="shared" si="0"/>
        <v>6</v>
      </c>
      <c r="C16" s="4"/>
      <c r="E16" s="6"/>
      <c r="F16" s="4"/>
      <c r="G16" s="4"/>
      <c r="H16" s="4"/>
      <c r="I16" s="46"/>
      <c r="J16" s="4">
        <f t="shared" si="1"/>
        <v>6</v>
      </c>
    </row>
    <row r="17" spans="1:26" ht="18.75" x14ac:dyDescent="0.25">
      <c r="A17" s="4">
        <f t="shared" si="0"/>
        <v>7</v>
      </c>
      <c r="B17" s="31" t="s">
        <v>833</v>
      </c>
      <c r="C17" s="4" t="s">
        <v>834</v>
      </c>
      <c r="D17" s="35"/>
      <c r="E17" s="48"/>
      <c r="F17" s="41"/>
      <c r="G17" s="1219">
        <f>+'AL-2'!C30</f>
        <v>89266.621674589915</v>
      </c>
      <c r="H17" s="71"/>
      <c r="I17" s="46" t="s">
        <v>835</v>
      </c>
      <c r="J17" s="4">
        <f t="shared" si="1"/>
        <v>7</v>
      </c>
      <c r="L17" s="276"/>
      <c r="M17" s="276"/>
    </row>
    <row r="18" spans="1:26" x14ac:dyDescent="0.25">
      <c r="A18" s="4">
        <f t="shared" si="0"/>
        <v>8</v>
      </c>
      <c r="C18" s="4"/>
      <c r="D18" s="35"/>
      <c r="E18" s="48"/>
      <c r="F18" s="41"/>
      <c r="G18" s="69"/>
      <c r="H18" s="71"/>
      <c r="I18" s="46"/>
      <c r="J18" s="4">
        <f t="shared" si="1"/>
        <v>8</v>
      </c>
      <c r="K18" s="357"/>
      <c r="L18" s="276"/>
      <c r="M18" s="276"/>
    </row>
    <row r="19" spans="1:26" x14ac:dyDescent="0.25">
      <c r="A19" s="4">
        <f t="shared" si="0"/>
        <v>9</v>
      </c>
      <c r="B19" s="31" t="s">
        <v>238</v>
      </c>
      <c r="C19" s="4"/>
      <c r="D19" s="35"/>
      <c r="E19" s="48"/>
      <c r="F19" s="41"/>
      <c r="G19" s="1223">
        <f>'Stmt AI'!E25</f>
        <v>0.20710488637345756</v>
      </c>
      <c r="H19" s="71"/>
      <c r="I19" s="4" t="s">
        <v>239</v>
      </c>
      <c r="J19" s="4">
        <f t="shared" si="1"/>
        <v>9</v>
      </c>
      <c r="K19" s="357"/>
      <c r="L19" s="276"/>
      <c r="M19" s="276"/>
    </row>
    <row r="20" spans="1:26" x14ac:dyDescent="0.25">
      <c r="A20" s="4">
        <f t="shared" si="0"/>
        <v>10</v>
      </c>
      <c r="B20" s="193"/>
      <c r="C20" s="622"/>
      <c r="D20" s="193"/>
      <c r="E20" s="1220"/>
      <c r="F20" s="1221"/>
      <c r="G20" s="1221"/>
      <c r="H20" s="1221"/>
      <c r="I20" s="443"/>
      <c r="J20" s="4">
        <f t="shared" si="1"/>
        <v>10</v>
      </c>
      <c r="K20" s="357"/>
      <c r="L20" s="276"/>
      <c r="M20" s="276"/>
    </row>
    <row r="21" spans="1:26" ht="16.5" thickBot="1" x14ac:dyDescent="0.3">
      <c r="A21" s="4">
        <f t="shared" si="0"/>
        <v>11</v>
      </c>
      <c r="B21" s="31" t="s">
        <v>836</v>
      </c>
      <c r="C21" s="4"/>
      <c r="E21" s="48"/>
      <c r="F21" s="41"/>
      <c r="G21" s="77">
        <f>G17*G19</f>
        <v>18487.553538858367</v>
      </c>
      <c r="H21" s="71"/>
      <c r="I21" s="46" t="s">
        <v>369</v>
      </c>
      <c r="J21" s="4">
        <f t="shared" si="1"/>
        <v>11</v>
      </c>
      <c r="K21" s="357"/>
      <c r="L21" s="276"/>
      <c r="M21" s="276"/>
      <c r="N21" s="276"/>
      <c r="O21" s="276"/>
      <c r="P21" s="276"/>
      <c r="Q21" s="276"/>
      <c r="R21" s="276"/>
      <c r="S21" s="276"/>
      <c r="T21" s="276"/>
      <c r="U21" s="276"/>
      <c r="V21" s="276"/>
      <c r="W21" s="276"/>
      <c r="X21" s="276"/>
      <c r="Y21" s="276"/>
      <c r="Z21" s="276"/>
    </row>
    <row r="22" spans="1:26" ht="16.5" thickTop="1" x14ac:dyDescent="0.25">
      <c r="A22" s="4">
        <f t="shared" si="0"/>
        <v>12</v>
      </c>
      <c r="E22" s="38"/>
      <c r="F22" s="41"/>
      <c r="G22" s="41"/>
      <c r="H22" s="41"/>
      <c r="I22" s="46"/>
      <c r="J22" s="4">
        <f t="shared" si="1"/>
        <v>12</v>
      </c>
      <c r="K22" s="357"/>
      <c r="L22" s="276"/>
      <c r="M22" s="276"/>
      <c r="N22" s="276"/>
      <c r="O22" s="276"/>
      <c r="P22" s="276"/>
      <c r="Q22" s="276"/>
      <c r="R22" s="276"/>
      <c r="S22" s="276"/>
      <c r="T22" s="276"/>
      <c r="U22" s="276"/>
      <c r="V22" s="276"/>
      <c r="W22" s="276"/>
      <c r="X22" s="276"/>
      <c r="Y22" s="276"/>
      <c r="Z22" s="276"/>
    </row>
    <row r="23" spans="1:26" ht="18.75" x14ac:dyDescent="0.25">
      <c r="A23" s="4">
        <f t="shared" si="0"/>
        <v>13</v>
      </c>
      <c r="B23" s="250" t="s">
        <v>2023</v>
      </c>
      <c r="C23" s="4"/>
      <c r="E23" s="38"/>
      <c r="F23" s="41"/>
      <c r="G23" s="41"/>
      <c r="H23" s="41"/>
      <c r="I23" s="46"/>
      <c r="J23" s="4">
        <f t="shared" si="1"/>
        <v>13</v>
      </c>
      <c r="K23" s="357"/>
      <c r="L23" s="276"/>
      <c r="M23" s="276"/>
      <c r="N23" s="276"/>
      <c r="O23" s="276"/>
      <c r="P23" s="276"/>
      <c r="Q23" s="276"/>
      <c r="R23" s="276"/>
      <c r="S23" s="276"/>
      <c r="T23" s="276"/>
      <c r="U23" s="276"/>
      <c r="V23" s="276"/>
      <c r="W23" s="276"/>
      <c r="X23" s="276"/>
      <c r="Y23" s="276"/>
      <c r="Z23" s="276"/>
    </row>
    <row r="24" spans="1:26" x14ac:dyDescent="0.25">
      <c r="A24" s="4">
        <f t="shared" si="0"/>
        <v>14</v>
      </c>
      <c r="B24" s="31" t="s">
        <v>839</v>
      </c>
      <c r="C24" s="4"/>
      <c r="E24" s="1215">
        <f>'Stmt AH'!E15</f>
        <v>101983.30953072449</v>
      </c>
      <c r="F24" s="41"/>
      <c r="G24" s="48"/>
      <c r="H24" s="41"/>
      <c r="I24" s="46" t="s">
        <v>1501</v>
      </c>
      <c r="J24" s="4">
        <f t="shared" si="1"/>
        <v>14</v>
      </c>
      <c r="K24" s="357"/>
      <c r="L24" s="276"/>
      <c r="M24" s="276"/>
      <c r="N24" s="276"/>
    </row>
    <row r="25" spans="1:26" x14ac:dyDescent="0.25">
      <c r="A25" s="4">
        <f t="shared" si="0"/>
        <v>15</v>
      </c>
      <c r="B25" s="31" t="s">
        <v>840</v>
      </c>
      <c r="C25" s="4"/>
      <c r="E25" s="1216">
        <f>'Stmt AH'!E30</f>
        <v>109183.36904379862</v>
      </c>
      <c r="F25" s="1"/>
      <c r="G25" s="38"/>
      <c r="H25" s="41"/>
      <c r="I25" s="46" t="s">
        <v>1698</v>
      </c>
      <c r="J25" s="4">
        <f t="shared" si="1"/>
        <v>15</v>
      </c>
      <c r="K25" s="357"/>
      <c r="L25" s="276"/>
      <c r="M25" s="276"/>
      <c r="N25" s="276"/>
    </row>
    <row r="26" spans="1:26" x14ac:dyDescent="0.25">
      <c r="A26" s="4">
        <f t="shared" si="0"/>
        <v>16</v>
      </c>
      <c r="B26" s="31" t="s">
        <v>841</v>
      </c>
      <c r="C26" s="4"/>
      <c r="E26" s="1222">
        <f>-'Stmt AH'!E20</f>
        <v>0</v>
      </c>
      <c r="F26" s="41"/>
      <c r="G26" s="38"/>
      <c r="H26" s="41"/>
      <c r="I26" s="46" t="s">
        <v>1502</v>
      </c>
      <c r="J26" s="4">
        <f t="shared" si="1"/>
        <v>16</v>
      </c>
      <c r="K26" s="357"/>
    </row>
    <row r="27" spans="1:26" x14ac:dyDescent="0.25">
      <c r="A27" s="4">
        <f t="shared" si="0"/>
        <v>17</v>
      </c>
      <c r="B27" s="31" t="s">
        <v>842</v>
      </c>
      <c r="C27" s="4"/>
      <c r="E27" s="10">
        <f>SUM(E24:E26)</f>
        <v>211166.67857452313</v>
      </c>
      <c r="F27" s="1"/>
      <c r="G27" s="35"/>
      <c r="H27" s="46"/>
      <c r="I27" s="46" t="s">
        <v>1850</v>
      </c>
      <c r="J27" s="4">
        <f t="shared" si="1"/>
        <v>17</v>
      </c>
      <c r="K27" s="357"/>
    </row>
    <row r="28" spans="1:26" x14ac:dyDescent="0.25">
      <c r="A28" s="4">
        <f t="shared" si="0"/>
        <v>18</v>
      </c>
      <c r="C28" s="4"/>
      <c r="F28" s="4"/>
      <c r="H28" s="4"/>
      <c r="I28" s="46"/>
      <c r="J28" s="4">
        <f t="shared" si="1"/>
        <v>18</v>
      </c>
      <c r="K28" s="357"/>
    </row>
    <row r="29" spans="1:26" x14ac:dyDescent="0.25">
      <c r="A29" s="4">
        <f t="shared" si="0"/>
        <v>19</v>
      </c>
      <c r="B29" s="31" t="s">
        <v>1849</v>
      </c>
      <c r="C29" s="4"/>
      <c r="E29" s="1275">
        <v>0</v>
      </c>
      <c r="F29" s="4"/>
      <c r="G29" s="47"/>
      <c r="H29" s="4"/>
      <c r="I29" s="4" t="s">
        <v>1969</v>
      </c>
      <c r="J29" s="4">
        <f t="shared" si="1"/>
        <v>19</v>
      </c>
      <c r="K29" s="357"/>
      <c r="L29" s="254"/>
    </row>
    <row r="30" spans="1:26" x14ac:dyDescent="0.25">
      <c r="A30" s="4">
        <f t="shared" si="0"/>
        <v>20</v>
      </c>
      <c r="C30" s="4"/>
      <c r="E30" s="70" t="s">
        <v>1</v>
      </c>
      <c r="F30" s="41"/>
      <c r="G30" s="70"/>
      <c r="H30" s="41"/>
      <c r="I30" s="46"/>
      <c r="J30" s="4">
        <f t="shared" si="1"/>
        <v>20</v>
      </c>
      <c r="K30" s="357"/>
    </row>
    <row r="31" spans="1:26" ht="19.5" thickBot="1" x14ac:dyDescent="0.3">
      <c r="A31" s="4">
        <f t="shared" si="0"/>
        <v>21</v>
      </c>
      <c r="B31" s="31" t="s">
        <v>2022</v>
      </c>
      <c r="C31" s="4"/>
      <c r="E31" s="77">
        <f>E27*E29</f>
        <v>0</v>
      </c>
      <c r="F31" s="1"/>
      <c r="G31" s="75"/>
      <c r="H31" s="41"/>
      <c r="I31" s="4" t="s">
        <v>1851</v>
      </c>
      <c r="J31" s="4">
        <f t="shared" si="1"/>
        <v>21</v>
      </c>
      <c r="K31" s="357"/>
    </row>
    <row r="32" spans="1:26" ht="16.5" thickTop="1" x14ac:dyDescent="0.25">
      <c r="A32" s="4">
        <f t="shared" si="0"/>
        <v>22</v>
      </c>
      <c r="C32" s="4"/>
      <c r="E32" s="75"/>
      <c r="F32" s="71"/>
      <c r="G32" s="75"/>
      <c r="H32" s="41"/>
      <c r="I32" s="4"/>
      <c r="J32" s="4">
        <f t="shared" si="1"/>
        <v>22</v>
      </c>
      <c r="K32" s="357"/>
    </row>
    <row r="33" spans="1:11" ht="18.75" x14ac:dyDescent="0.25">
      <c r="A33" s="4">
        <f t="shared" si="0"/>
        <v>23</v>
      </c>
      <c r="B33" s="250" t="s">
        <v>2021</v>
      </c>
      <c r="C33" s="4"/>
      <c r="E33" s="38"/>
      <c r="F33" s="41"/>
      <c r="G33" s="41"/>
      <c r="H33" s="41"/>
      <c r="I33" s="46"/>
      <c r="J33" s="4">
        <f t="shared" si="1"/>
        <v>23</v>
      </c>
      <c r="K33" s="357"/>
    </row>
    <row r="34" spans="1:11" x14ac:dyDescent="0.25">
      <c r="A34" s="4">
        <f t="shared" si="0"/>
        <v>24</v>
      </c>
      <c r="B34" s="31" t="s">
        <v>841</v>
      </c>
      <c r="C34" s="4"/>
      <c r="E34" s="48">
        <f>E26</f>
        <v>0</v>
      </c>
      <c r="F34" s="41"/>
      <c r="G34" s="48"/>
      <c r="H34" s="41"/>
      <c r="I34" s="46" t="s">
        <v>1852</v>
      </c>
      <c r="J34" s="4">
        <f t="shared" si="1"/>
        <v>24</v>
      </c>
      <c r="K34" s="357"/>
    </row>
    <row r="35" spans="1:11" x14ac:dyDescent="0.25">
      <c r="A35" s="4">
        <f t="shared" si="0"/>
        <v>25</v>
      </c>
      <c r="C35" s="4"/>
      <c r="E35" s="113"/>
      <c r="F35" s="41"/>
      <c r="G35" s="48"/>
      <c r="H35" s="41"/>
      <c r="I35" s="46"/>
      <c r="J35" s="4">
        <f t="shared" si="1"/>
        <v>25</v>
      </c>
      <c r="K35" s="357"/>
    </row>
    <row r="36" spans="1:11" x14ac:dyDescent="0.25">
      <c r="A36" s="4">
        <f t="shared" si="0"/>
        <v>26</v>
      </c>
      <c r="B36" s="31" t="s">
        <v>1849</v>
      </c>
      <c r="C36" s="4"/>
      <c r="E36" s="1038">
        <f>E29</f>
        <v>0</v>
      </c>
      <c r="F36" s="4"/>
      <c r="G36" s="47"/>
      <c r="H36" s="4"/>
      <c r="I36" s="46" t="s">
        <v>1853</v>
      </c>
      <c r="J36" s="4">
        <f t="shared" si="1"/>
        <v>26</v>
      </c>
      <c r="K36" s="357"/>
    </row>
    <row r="37" spans="1:11" x14ac:dyDescent="0.25">
      <c r="A37" s="4">
        <f t="shared" si="0"/>
        <v>27</v>
      </c>
      <c r="C37" s="4"/>
      <c r="E37" s="47"/>
      <c r="F37" s="4"/>
      <c r="G37" s="47"/>
      <c r="H37" s="4"/>
      <c r="I37" s="46"/>
      <c r="J37" s="4">
        <f t="shared" si="1"/>
        <v>27</v>
      </c>
      <c r="K37" s="357"/>
    </row>
    <row r="38" spans="1:11" ht="18.75" x14ac:dyDescent="0.25">
      <c r="A38" s="4">
        <f t="shared" si="0"/>
        <v>28</v>
      </c>
      <c r="B38" s="31" t="s">
        <v>2020</v>
      </c>
      <c r="C38" s="4"/>
      <c r="E38" s="914">
        <f>E34*E36</f>
        <v>0</v>
      </c>
      <c r="F38" s="4"/>
      <c r="G38" s="47"/>
      <c r="H38" s="4"/>
      <c r="I38" s="4" t="s">
        <v>1854</v>
      </c>
      <c r="J38" s="4">
        <f t="shared" si="1"/>
        <v>28</v>
      </c>
      <c r="K38" s="357"/>
    </row>
    <row r="39" spans="1:11" x14ac:dyDescent="0.25">
      <c r="A39" s="4">
        <f t="shared" si="0"/>
        <v>29</v>
      </c>
      <c r="C39" s="4"/>
      <c r="J39" s="4">
        <f t="shared" si="1"/>
        <v>29</v>
      </c>
      <c r="K39" s="357"/>
    </row>
    <row r="40" spans="1:11" ht="18.75" x14ac:dyDescent="0.25">
      <c r="A40" s="4">
        <f t="shared" si="0"/>
        <v>30</v>
      </c>
      <c r="B40" s="32" t="s">
        <v>1579</v>
      </c>
      <c r="C40" s="4"/>
      <c r="E40" s="867">
        <f>IFERROR('Stmt AV'!F143,0)</f>
        <v>9.6242072833420123E-2</v>
      </c>
      <c r="F40" s="1"/>
      <c r="I40" s="4" t="s">
        <v>1665</v>
      </c>
      <c r="J40" s="4">
        <f t="shared" si="1"/>
        <v>30</v>
      </c>
      <c r="K40" s="357"/>
    </row>
    <row r="41" spans="1:11" x14ac:dyDescent="0.25">
      <c r="A41" s="4">
        <f t="shared" si="0"/>
        <v>31</v>
      </c>
      <c r="B41" s="32"/>
      <c r="C41" s="4"/>
      <c r="E41" s="26"/>
      <c r="F41" s="1"/>
      <c r="I41" s="4"/>
      <c r="J41" s="4">
        <f t="shared" si="1"/>
        <v>31</v>
      </c>
      <c r="K41" s="357"/>
    </row>
    <row r="42" spans="1:11" ht="16.5" thickBot="1" x14ac:dyDescent="0.3">
      <c r="A42" s="4">
        <f t="shared" si="0"/>
        <v>32</v>
      </c>
      <c r="B42" s="31" t="s">
        <v>1857</v>
      </c>
      <c r="C42" s="4"/>
      <c r="E42" s="1105">
        <f>E38*E40</f>
        <v>0</v>
      </c>
      <c r="F42" s="1"/>
      <c r="I42" s="4" t="s">
        <v>1855</v>
      </c>
      <c r="J42" s="4">
        <f t="shared" si="1"/>
        <v>32</v>
      </c>
      <c r="K42" s="357"/>
    </row>
    <row r="43" spans="1:11" ht="16.5" thickTop="1" x14ac:dyDescent="0.25">
      <c r="A43" s="4">
        <f t="shared" si="0"/>
        <v>33</v>
      </c>
      <c r="C43" s="4"/>
      <c r="E43" s="75"/>
      <c r="I43" s="4"/>
      <c r="J43" s="4">
        <f t="shared" si="1"/>
        <v>33</v>
      </c>
      <c r="K43" s="357"/>
    </row>
    <row r="44" spans="1:11" ht="18.75" x14ac:dyDescent="0.25">
      <c r="A44" s="4">
        <f t="shared" si="0"/>
        <v>34</v>
      </c>
      <c r="B44" s="32" t="s">
        <v>1581</v>
      </c>
      <c r="C44" s="4"/>
      <c r="E44" s="1212">
        <f>IFERROR('Stmt AV'!F183,0)</f>
        <v>0</v>
      </c>
      <c r="I44" s="4" t="s">
        <v>1667</v>
      </c>
      <c r="J44" s="4">
        <f t="shared" si="1"/>
        <v>34</v>
      </c>
      <c r="K44" s="357"/>
    </row>
    <row r="45" spans="1:11" x14ac:dyDescent="0.25">
      <c r="A45" s="4">
        <f t="shared" si="0"/>
        <v>35</v>
      </c>
      <c r="C45" s="4"/>
      <c r="E45" s="75"/>
      <c r="I45" s="4"/>
      <c r="J45" s="4">
        <f t="shared" si="1"/>
        <v>35</v>
      </c>
      <c r="K45" s="357"/>
    </row>
    <row r="46" spans="1:11" ht="16.5" thickBot="1" x14ac:dyDescent="0.3">
      <c r="A46" s="4">
        <f t="shared" si="0"/>
        <v>36</v>
      </c>
      <c r="B46" s="31" t="s">
        <v>1858</v>
      </c>
      <c r="C46" s="4"/>
      <c r="E46" s="77">
        <f>E38*E44</f>
        <v>0</v>
      </c>
      <c r="I46" s="4" t="s">
        <v>1856</v>
      </c>
      <c r="J46" s="4">
        <f t="shared" si="1"/>
        <v>36</v>
      </c>
      <c r="K46" s="357"/>
    </row>
    <row r="47" spans="1:11" ht="16.5" thickTop="1" x14ac:dyDescent="0.25">
      <c r="C47" s="4"/>
      <c r="E47" s="75"/>
      <c r="I47" s="4"/>
      <c r="J47" s="4"/>
    </row>
    <row r="48" spans="1:11" x14ac:dyDescent="0.25">
      <c r="C48" s="4"/>
    </row>
    <row r="49" spans="1:4" ht="18.75" x14ac:dyDescent="0.25">
      <c r="A49" s="252">
        <v>1</v>
      </c>
      <c r="B49" s="31" t="s">
        <v>853</v>
      </c>
      <c r="C49" s="4"/>
    </row>
    <row r="50" spans="1:4" ht="18.75" x14ac:dyDescent="0.25">
      <c r="A50" s="1211"/>
      <c r="B50" s="413"/>
      <c r="C50" s="337"/>
      <c r="D50" s="413"/>
    </row>
    <row r="51" spans="1:4" x14ac:dyDescent="0.25">
      <c r="A51" s="217"/>
      <c r="B51" s="1"/>
    </row>
  </sheetData>
  <mergeCells count="5">
    <mergeCell ref="B2:I2"/>
    <mergeCell ref="B3:I3"/>
    <mergeCell ref="B4:I4"/>
    <mergeCell ref="B5:I5"/>
    <mergeCell ref="B6:I6"/>
  </mergeCells>
  <printOptions horizontalCentered="1"/>
  <pageMargins left="0.5" right="0.5" top="0.5" bottom="0.5" header="0.25" footer="0.25"/>
  <pageSetup scale="47" orientation="portrait" r:id="rId1"/>
  <headerFooter scaleWithDoc="0">
    <oddFooter>&amp;C&amp;"Times New Roman,Regular"&amp;10&amp;A</oddFooter>
  </headerFooter>
  <customProperties>
    <customPr name="_pios_id" r:id="rId2"/>
  </customPropertie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I34"/>
  <sheetViews>
    <sheetView zoomScale="80" zoomScaleNormal="80" workbookViewId="0">
      <selection activeCell="D40" sqref="D40"/>
    </sheetView>
  </sheetViews>
  <sheetFormatPr defaultColWidth="9.28515625" defaultRowHeight="15.75" x14ac:dyDescent="0.25"/>
  <cols>
    <col min="1" max="1" width="5.28515625" style="217" customWidth="1"/>
    <col min="2" max="2" width="35.28515625" style="1" customWidth="1"/>
    <col min="3" max="3" width="18.5703125" style="86" customWidth="1"/>
    <col min="4" max="4" width="62.5703125" style="299" customWidth="1"/>
    <col min="5" max="5" width="5.28515625" style="299" customWidth="1"/>
    <col min="6" max="6" width="21.28515625" style="86" customWidth="1"/>
    <col min="7" max="7" width="20.28515625" style="86" customWidth="1"/>
    <col min="8" max="8" width="17.42578125" style="86" customWidth="1"/>
    <col min="9" max="9" width="16.7109375" style="86" customWidth="1"/>
    <col min="10" max="10" width="21.28515625" style="1" customWidth="1"/>
    <col min="11" max="11" width="15" style="1" customWidth="1"/>
    <col min="12" max="12" width="11" style="1" customWidth="1"/>
    <col min="13" max="13" width="7.28515625" style="1" customWidth="1"/>
    <col min="14" max="14" width="9.28515625" style="1" customWidth="1"/>
    <col min="15" max="15" width="14" style="1" customWidth="1"/>
    <col min="16" max="16" width="13.42578125" style="1" customWidth="1"/>
    <col min="17" max="16384" width="9.28515625" style="1"/>
  </cols>
  <sheetData>
    <row r="1" spans="1:8" ht="18.75" x14ac:dyDescent="0.25">
      <c r="G1" s="1207"/>
      <c r="H1" s="1200"/>
    </row>
    <row r="2" spans="1:8" x14ac:dyDescent="0.25">
      <c r="B2" s="1316" t="s">
        <v>0</v>
      </c>
      <c r="C2" s="1316"/>
      <c r="D2" s="1316"/>
      <c r="E2" s="299" t="s">
        <v>1</v>
      </c>
      <c r="F2" s="1"/>
    </row>
    <row r="3" spans="1:8" x14ac:dyDescent="0.25">
      <c r="B3" s="1316" t="s">
        <v>855</v>
      </c>
      <c r="C3" s="1316"/>
      <c r="D3" s="1316"/>
      <c r="E3" s="299" t="s">
        <v>1</v>
      </c>
      <c r="F3" s="1"/>
    </row>
    <row r="4" spans="1:8" x14ac:dyDescent="0.25">
      <c r="B4" s="1316" t="s">
        <v>856</v>
      </c>
      <c r="C4" s="1316"/>
      <c r="D4" s="1316"/>
      <c r="E4" s="299" t="s">
        <v>1</v>
      </c>
      <c r="F4" s="1"/>
    </row>
    <row r="5" spans="1:8" x14ac:dyDescent="0.25">
      <c r="B5" s="1316" t="str">
        <f>'AD-1'!B5</f>
        <v>BASE PERIOD / TRUE UP PERIOD - 12/31/2025 PER BOOK</v>
      </c>
      <c r="C5" s="1316"/>
      <c r="D5" s="1316"/>
      <c r="E5" s="217"/>
      <c r="F5" s="1"/>
    </row>
    <row r="6" spans="1:8" x14ac:dyDescent="0.25">
      <c r="B6" s="1340" t="s">
        <v>4</v>
      </c>
      <c r="C6" s="1340"/>
      <c r="D6" s="1340"/>
      <c r="E6" s="299" t="s">
        <v>1</v>
      </c>
      <c r="F6" s="267"/>
    </row>
    <row r="7" spans="1:8" x14ac:dyDescent="0.25">
      <c r="B7" s="447"/>
      <c r="C7" s="267"/>
      <c r="F7" s="267"/>
    </row>
    <row r="8" spans="1:8" x14ac:dyDescent="0.25">
      <c r="B8" s="1316" t="s">
        <v>857</v>
      </c>
      <c r="C8" s="1316"/>
      <c r="D8" s="1316"/>
      <c r="E8" s="217"/>
      <c r="F8" s="267"/>
    </row>
    <row r="9" spans="1:8" x14ac:dyDescent="0.25">
      <c r="B9" s="1316" t="s">
        <v>858</v>
      </c>
      <c r="C9" s="1316"/>
      <c r="D9" s="1316"/>
      <c r="E9" s="217"/>
    </row>
    <row r="10" spans="1:8" x14ac:dyDescent="0.25">
      <c r="B10" s="917"/>
      <c r="C10" s="1039"/>
      <c r="E10" s="299" t="s">
        <v>1</v>
      </c>
    </row>
    <row r="11" spans="1:8" x14ac:dyDescent="0.25">
      <c r="B11" s="924"/>
      <c r="C11" s="943" t="s">
        <v>180</v>
      </c>
      <c r="D11" s="925"/>
      <c r="E11" s="4"/>
      <c r="F11" s="31"/>
    </row>
    <row r="12" spans="1:8" x14ac:dyDescent="0.25">
      <c r="B12" s="272"/>
      <c r="C12" s="269" t="s">
        <v>859</v>
      </c>
      <c r="D12" s="269"/>
      <c r="E12" s="4"/>
      <c r="F12" s="31"/>
    </row>
    <row r="13" spans="1:8" x14ac:dyDescent="0.25">
      <c r="A13" s="4" t="s">
        <v>5</v>
      </c>
      <c r="B13" s="269"/>
      <c r="C13" s="269" t="s">
        <v>860</v>
      </c>
      <c r="D13" s="269"/>
      <c r="E13" s="4" t="s">
        <v>5</v>
      </c>
      <c r="F13" s="31"/>
    </row>
    <row r="14" spans="1:8" x14ac:dyDescent="0.25">
      <c r="A14" s="4" t="s">
        <v>6</v>
      </c>
      <c r="B14" s="274" t="s">
        <v>260</v>
      </c>
      <c r="C14" s="269" t="s">
        <v>861</v>
      </c>
      <c r="D14" s="274" t="s">
        <v>8</v>
      </c>
      <c r="E14" s="4" t="s">
        <v>6</v>
      </c>
      <c r="F14" s="31"/>
    </row>
    <row r="15" spans="1:8" x14ac:dyDescent="0.25">
      <c r="A15" s="448">
        <v>1</v>
      </c>
      <c r="B15" s="928" t="str">
        <f>'AG-1'!B14</f>
        <v>Dec-24</v>
      </c>
      <c r="C15" s="1040">
        <v>187312.109</v>
      </c>
      <c r="D15" s="939" t="s">
        <v>263</v>
      </c>
      <c r="E15" s="448">
        <f>A15</f>
        <v>1</v>
      </c>
      <c r="F15" s="449"/>
    </row>
    <row r="16" spans="1:8" x14ac:dyDescent="0.25">
      <c r="A16" s="448">
        <f>A15+1</f>
        <v>2</v>
      </c>
      <c r="B16" s="928" t="str">
        <f>'AG-1'!B15</f>
        <v>Jan-25</v>
      </c>
      <c r="C16" s="232">
        <v>197906.00700000001</v>
      </c>
      <c r="D16" s="939"/>
      <c r="E16" s="448">
        <f>E15+1</f>
        <v>2</v>
      </c>
      <c r="F16" s="449"/>
    </row>
    <row r="17" spans="1:6" x14ac:dyDescent="0.25">
      <c r="A17" s="448">
        <f t="shared" ref="A17:A32" si="0">A16+1</f>
        <v>3</v>
      </c>
      <c r="B17" s="931" t="s">
        <v>265</v>
      </c>
      <c r="C17" s="232">
        <v>204879.36600000001</v>
      </c>
      <c r="D17" s="939"/>
      <c r="E17" s="448">
        <f t="shared" ref="E17:E32" si="1">E16+1</f>
        <v>3</v>
      </c>
      <c r="F17" s="449"/>
    </row>
    <row r="18" spans="1:6" x14ac:dyDescent="0.25">
      <c r="A18" s="448">
        <f t="shared" si="0"/>
        <v>4</v>
      </c>
      <c r="B18" s="931" t="s">
        <v>266</v>
      </c>
      <c r="C18" s="232">
        <v>217583.99</v>
      </c>
      <c r="D18" s="939"/>
      <c r="E18" s="448">
        <f t="shared" si="1"/>
        <v>4</v>
      </c>
      <c r="F18" s="449"/>
    </row>
    <row r="19" spans="1:6" x14ac:dyDescent="0.25">
      <c r="A19" s="448">
        <f t="shared" si="0"/>
        <v>5</v>
      </c>
      <c r="B19" s="931" t="s">
        <v>267</v>
      </c>
      <c r="C19" s="232">
        <v>224960.533</v>
      </c>
      <c r="D19" s="939"/>
      <c r="E19" s="448">
        <f t="shared" si="1"/>
        <v>5</v>
      </c>
      <c r="F19" s="449"/>
    </row>
    <row r="20" spans="1:6" x14ac:dyDescent="0.25">
      <c r="A20" s="448">
        <f t="shared" si="0"/>
        <v>6</v>
      </c>
      <c r="B20" s="931" t="s">
        <v>268</v>
      </c>
      <c r="C20" s="232">
        <v>233152.27600000001</v>
      </c>
      <c r="D20" s="939"/>
      <c r="E20" s="448">
        <f t="shared" si="1"/>
        <v>6</v>
      </c>
      <c r="F20" s="449"/>
    </row>
    <row r="21" spans="1:6" x14ac:dyDescent="0.25">
      <c r="A21" s="448">
        <f t="shared" si="0"/>
        <v>7</v>
      </c>
      <c r="B21" s="931" t="s">
        <v>269</v>
      </c>
      <c r="C21" s="232">
        <v>239182.12100000001</v>
      </c>
      <c r="D21" s="939"/>
      <c r="E21" s="448">
        <f t="shared" si="1"/>
        <v>7</v>
      </c>
      <c r="F21" s="449"/>
    </row>
    <row r="22" spans="1:6" x14ac:dyDescent="0.25">
      <c r="A22" s="448">
        <f t="shared" si="0"/>
        <v>8</v>
      </c>
      <c r="B22" s="931" t="s">
        <v>270</v>
      </c>
      <c r="C22" s="232">
        <v>244916.81899999999</v>
      </c>
      <c r="D22" s="939"/>
      <c r="E22" s="448">
        <f t="shared" si="1"/>
        <v>8</v>
      </c>
      <c r="F22" s="449"/>
    </row>
    <row r="23" spans="1:6" x14ac:dyDescent="0.25">
      <c r="A23" s="448">
        <f t="shared" si="0"/>
        <v>9</v>
      </c>
      <c r="B23" s="931" t="s">
        <v>271</v>
      </c>
      <c r="C23" s="232">
        <v>245771.321</v>
      </c>
      <c r="D23" s="939"/>
      <c r="E23" s="448">
        <f t="shared" si="1"/>
        <v>9</v>
      </c>
      <c r="F23" s="449"/>
    </row>
    <row r="24" spans="1:6" x14ac:dyDescent="0.25">
      <c r="A24" s="448">
        <f t="shared" si="0"/>
        <v>10</v>
      </c>
      <c r="B24" s="931" t="s">
        <v>272</v>
      </c>
      <c r="C24" s="232">
        <v>248554.723</v>
      </c>
      <c r="D24" s="939"/>
      <c r="E24" s="448">
        <f t="shared" si="1"/>
        <v>10</v>
      </c>
      <c r="F24" s="449"/>
    </row>
    <row r="25" spans="1:6" x14ac:dyDescent="0.25">
      <c r="A25" s="448">
        <f t="shared" si="0"/>
        <v>11</v>
      </c>
      <c r="B25" s="931" t="s">
        <v>273</v>
      </c>
      <c r="C25" s="232">
        <v>247937.44899999999</v>
      </c>
      <c r="D25" s="939"/>
      <c r="E25" s="448">
        <f t="shared" si="1"/>
        <v>11</v>
      </c>
      <c r="F25" s="449"/>
    </row>
    <row r="26" spans="1:6" x14ac:dyDescent="0.25">
      <c r="A26" s="448">
        <f t="shared" si="0"/>
        <v>12</v>
      </c>
      <c r="B26" s="931" t="s">
        <v>274</v>
      </c>
      <c r="C26" s="232">
        <v>248943.67499999999</v>
      </c>
      <c r="D26" s="933"/>
      <c r="E26" s="448">
        <f t="shared" si="1"/>
        <v>12</v>
      </c>
      <c r="F26" s="449"/>
    </row>
    <row r="27" spans="1:6" x14ac:dyDescent="0.25">
      <c r="A27" s="448">
        <f t="shared" si="0"/>
        <v>13</v>
      </c>
      <c r="B27" s="629" t="str">
        <f>'AG-1'!B26</f>
        <v>Dec-25</v>
      </c>
      <c r="C27" s="93">
        <v>251910.03899999999</v>
      </c>
      <c r="D27" s="68" t="s">
        <v>263</v>
      </c>
      <c r="E27" s="448">
        <f t="shared" si="1"/>
        <v>13</v>
      </c>
      <c r="F27" s="449"/>
    </row>
    <row r="28" spans="1:6" x14ac:dyDescent="0.25">
      <c r="A28" s="448">
        <f t="shared" si="0"/>
        <v>14</v>
      </c>
      <c r="B28" s="1041"/>
      <c r="C28" s="1042"/>
      <c r="D28" s="1043"/>
      <c r="E28" s="448">
        <f t="shared" si="1"/>
        <v>14</v>
      </c>
      <c r="F28" s="31"/>
    </row>
    <row r="29" spans="1:6" x14ac:dyDescent="0.25">
      <c r="A29" s="448">
        <f t="shared" si="0"/>
        <v>15</v>
      </c>
      <c r="B29" s="277" t="s">
        <v>276</v>
      </c>
      <c r="C29" s="961">
        <f>SUM(C15:C27)</f>
        <v>2993010.4279999998</v>
      </c>
      <c r="D29" s="933" t="s">
        <v>277</v>
      </c>
      <c r="E29" s="448">
        <f t="shared" si="1"/>
        <v>15</v>
      </c>
      <c r="F29" s="31"/>
    </row>
    <row r="30" spans="1:6" x14ac:dyDescent="0.25">
      <c r="A30" s="448">
        <f t="shared" si="0"/>
        <v>16</v>
      </c>
      <c r="B30" s="116"/>
      <c r="C30" s="92"/>
      <c r="D30" s="68"/>
      <c r="E30" s="448">
        <f t="shared" si="1"/>
        <v>16</v>
      </c>
      <c r="F30" s="31"/>
    </row>
    <row r="31" spans="1:6" x14ac:dyDescent="0.25">
      <c r="A31" s="448">
        <f t="shared" si="0"/>
        <v>17</v>
      </c>
      <c r="B31" s="924"/>
      <c r="C31" s="1044"/>
      <c r="D31" s="1045"/>
      <c r="E31" s="448">
        <f t="shared" si="1"/>
        <v>17</v>
      </c>
      <c r="F31" s="31"/>
    </row>
    <row r="32" spans="1:6" x14ac:dyDescent="0.25">
      <c r="A32" s="448">
        <f t="shared" si="0"/>
        <v>18</v>
      </c>
      <c r="B32" s="277" t="s">
        <v>278</v>
      </c>
      <c r="C32" s="961">
        <f>C29/13</f>
        <v>230231.57138461538</v>
      </c>
      <c r="D32" s="569" t="s">
        <v>862</v>
      </c>
      <c r="E32" s="448">
        <f t="shared" si="1"/>
        <v>18</v>
      </c>
      <c r="F32" s="31"/>
    </row>
    <row r="33" spans="1:6" x14ac:dyDescent="0.25">
      <c r="A33" s="448">
        <f>A32+1</f>
        <v>19</v>
      </c>
      <c r="B33" s="116"/>
      <c r="C33" s="67"/>
      <c r="D33" s="450"/>
      <c r="E33" s="448">
        <f>E32+1</f>
        <v>19</v>
      </c>
      <c r="F33" s="31"/>
    </row>
    <row r="34" spans="1:6" x14ac:dyDescent="0.25">
      <c r="A34" s="4"/>
    </row>
  </sheetData>
  <mergeCells count="7">
    <mergeCell ref="B8:D8"/>
    <mergeCell ref="B9:D9"/>
    <mergeCell ref="B5:D5"/>
    <mergeCell ref="B3:D3"/>
    <mergeCell ref="B2:D2"/>
    <mergeCell ref="B6:D6"/>
    <mergeCell ref="B4:D4"/>
  </mergeCells>
  <printOptions horizontalCentered="1"/>
  <pageMargins left="0.5" right="0.5" top="0.5" bottom="0.5" header="0.25" footer="0.25"/>
  <pageSetup orientation="landscape" r:id="rId1"/>
  <headerFooter scaleWithDoc="0">
    <oddFooter>&amp;C&amp;"Times New Roman,Regular"&amp;10&amp;A</oddFooter>
  </headerFooter>
  <customProperties>
    <customPr name="_pios_id" r:id="rId2"/>
  </customPropertie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7CF36-7662-4DEC-8B49-E005C15CAEA6}">
  <sheetPr>
    <pageSetUpPr fitToPage="1"/>
  </sheetPr>
  <dimension ref="A1:H22"/>
  <sheetViews>
    <sheetView zoomScaleNormal="100" workbookViewId="0">
      <selection activeCell="E15" sqref="E15"/>
    </sheetView>
  </sheetViews>
  <sheetFormatPr defaultRowHeight="15" x14ac:dyDescent="0.25"/>
  <cols>
    <col min="1" max="1" width="5.7109375" customWidth="1"/>
    <col min="2" max="2" width="50.7109375" customWidth="1"/>
    <col min="3" max="5" width="15.7109375" bestFit="1" customWidth="1"/>
    <col min="6" max="6" width="5.7109375" customWidth="1"/>
    <col min="7" max="8" width="14.28515625" bestFit="1" customWidth="1"/>
  </cols>
  <sheetData>
    <row r="1" spans="1:8" ht="15.75" x14ac:dyDescent="0.25">
      <c r="A1" s="742"/>
      <c r="B1" s="1224" t="s">
        <v>1079</v>
      </c>
      <c r="C1" s="1224"/>
      <c r="D1" s="1224"/>
      <c r="E1" s="1224"/>
      <c r="F1" s="742"/>
    </row>
    <row r="2" spans="1:8" ht="15.75" x14ac:dyDescent="0.25">
      <c r="A2" s="742"/>
      <c r="B2" s="1224" t="s">
        <v>1816</v>
      </c>
      <c r="C2" s="1224"/>
      <c r="D2" s="1224"/>
      <c r="E2" s="1224"/>
      <c r="F2" s="742"/>
    </row>
    <row r="3" spans="1:8" ht="15.75" x14ac:dyDescent="0.25">
      <c r="A3" s="742"/>
      <c r="B3" s="1224" t="s">
        <v>1817</v>
      </c>
      <c r="C3" s="1224"/>
      <c r="D3" s="1224"/>
      <c r="E3" s="1224"/>
      <c r="F3" s="742"/>
    </row>
    <row r="4" spans="1:8" x14ac:dyDescent="0.25">
      <c r="A4" s="742"/>
      <c r="B4" s="742"/>
      <c r="C4" s="742"/>
      <c r="D4" s="742"/>
      <c r="E4" s="742"/>
      <c r="F4" s="742"/>
    </row>
    <row r="5" spans="1:8" x14ac:dyDescent="0.25">
      <c r="A5" s="742"/>
      <c r="B5" s="742"/>
      <c r="C5" s="742"/>
      <c r="D5" s="742"/>
      <c r="E5" s="742"/>
      <c r="F5" s="742"/>
    </row>
    <row r="6" spans="1:8" x14ac:dyDescent="0.25">
      <c r="A6" s="1225" t="s">
        <v>5</v>
      </c>
      <c r="B6" s="1226"/>
      <c r="C6" s="1227" t="s">
        <v>187</v>
      </c>
      <c r="D6" s="1227" t="s">
        <v>188</v>
      </c>
      <c r="E6" s="1227" t="s">
        <v>189</v>
      </c>
      <c r="F6" s="1225" t="s">
        <v>5</v>
      </c>
    </row>
    <row r="7" spans="1:8" x14ac:dyDescent="0.25">
      <c r="A7" s="1228" t="s">
        <v>6</v>
      </c>
      <c r="B7" s="1228" t="s">
        <v>311</v>
      </c>
      <c r="C7" s="1228">
        <v>2023</v>
      </c>
      <c r="D7" s="1228">
        <v>2024</v>
      </c>
      <c r="E7" s="1228">
        <v>2025</v>
      </c>
      <c r="F7" s="1228" t="s">
        <v>6</v>
      </c>
      <c r="G7" s="1198"/>
      <c r="H7" s="1198"/>
    </row>
    <row r="8" spans="1:8" x14ac:dyDescent="0.25">
      <c r="A8" s="1229"/>
      <c r="B8" s="1229"/>
      <c r="C8" s="1225"/>
      <c r="D8" s="1225"/>
      <c r="E8" s="1225"/>
      <c r="F8" s="1229"/>
      <c r="G8" s="1198"/>
    </row>
    <row r="9" spans="1:8" x14ac:dyDescent="0.25">
      <c r="A9" s="1229">
        <v>1</v>
      </c>
      <c r="B9" s="742" t="s">
        <v>1809</v>
      </c>
      <c r="C9" s="1264">
        <v>28822454.210000012</v>
      </c>
      <c r="D9" s="1264">
        <v>22872661.329999983</v>
      </c>
      <c r="E9" s="1264">
        <v>21211875.480000008</v>
      </c>
      <c r="F9" s="1229">
        <v>1</v>
      </c>
      <c r="G9" s="1198"/>
    </row>
    <row r="10" spans="1:8" x14ac:dyDescent="0.25">
      <c r="A10" s="1229">
        <f>A9+1</f>
        <v>2</v>
      </c>
      <c r="B10" s="742" t="s">
        <v>1810</v>
      </c>
      <c r="C10" s="1264">
        <v>295269897.35311002</v>
      </c>
      <c r="D10" s="1264">
        <v>293201909.48635709</v>
      </c>
      <c r="E10" s="1264">
        <v>329451813.65620494</v>
      </c>
      <c r="F10" s="1229">
        <f>F9+1</f>
        <v>2</v>
      </c>
      <c r="G10" s="1198"/>
    </row>
    <row r="11" spans="1:8" ht="15.75" customHeight="1" thickBot="1" x14ac:dyDescent="0.3">
      <c r="A11" s="1229">
        <f t="shared" ref="A11:A21" si="0">A10+1</f>
        <v>3</v>
      </c>
      <c r="B11" s="742" t="s">
        <v>1811</v>
      </c>
      <c r="C11" s="1230">
        <f t="shared" ref="C11:E11" si="1">SUM(C9:C10)</f>
        <v>324092351.56311005</v>
      </c>
      <c r="D11" s="1230">
        <f t="shared" si="1"/>
        <v>316074570.81635708</v>
      </c>
      <c r="E11" s="1230">
        <f t="shared" si="1"/>
        <v>350663689.13620496</v>
      </c>
      <c r="F11" s="1229">
        <f t="shared" ref="F11:F21" si="2">F10+1</f>
        <v>3</v>
      </c>
      <c r="G11" s="1198"/>
    </row>
    <row r="12" spans="1:8" ht="15.75" thickTop="1" x14ac:dyDescent="0.25">
      <c r="A12" s="1229">
        <f t="shared" si="0"/>
        <v>4</v>
      </c>
      <c r="B12" s="742"/>
      <c r="C12" s="742"/>
      <c r="D12" s="742"/>
      <c r="E12" s="742"/>
      <c r="F12" s="1229">
        <f t="shared" si="2"/>
        <v>4</v>
      </c>
      <c r="G12" s="1198"/>
    </row>
    <row r="13" spans="1:8" x14ac:dyDescent="0.25">
      <c r="A13" s="1229">
        <f t="shared" si="0"/>
        <v>5</v>
      </c>
      <c r="B13" s="742"/>
      <c r="C13" s="742"/>
      <c r="D13" s="742"/>
      <c r="E13" s="742"/>
      <c r="F13" s="1229">
        <f t="shared" si="2"/>
        <v>5</v>
      </c>
      <c r="G13" s="1198"/>
    </row>
    <row r="14" spans="1:8" x14ac:dyDescent="0.25">
      <c r="A14" s="1229">
        <f t="shared" si="0"/>
        <v>6</v>
      </c>
      <c r="B14" s="742"/>
      <c r="C14" s="1228">
        <f>C7</f>
        <v>2023</v>
      </c>
      <c r="D14" s="1228">
        <f>D7</f>
        <v>2024</v>
      </c>
      <c r="E14" s="1228">
        <f>E7</f>
        <v>2025</v>
      </c>
      <c r="F14" s="1229">
        <f t="shared" si="2"/>
        <v>6</v>
      </c>
      <c r="G14" s="1198"/>
    </row>
    <row r="15" spans="1:8" x14ac:dyDescent="0.25">
      <c r="A15" s="1229">
        <f t="shared" si="0"/>
        <v>7</v>
      </c>
      <c r="B15" s="742" t="s">
        <v>1812</v>
      </c>
      <c r="C15" s="1264">
        <v>3124850.7999999993</v>
      </c>
      <c r="D15" s="1264">
        <v>3583805.5399999996</v>
      </c>
      <c r="E15" s="1264">
        <v>3523825.0154165067</v>
      </c>
      <c r="F15" s="1229">
        <f t="shared" si="2"/>
        <v>7</v>
      </c>
      <c r="G15" s="1198"/>
      <c r="H15" s="1198"/>
    </row>
    <row r="16" spans="1:8" x14ac:dyDescent="0.25">
      <c r="A16" s="1229">
        <f t="shared" si="0"/>
        <v>8</v>
      </c>
      <c r="B16" s="742" t="s">
        <v>1813</v>
      </c>
      <c r="C16" s="1264">
        <v>63707629.018621996</v>
      </c>
      <c r="D16" s="1264">
        <v>82129523.82052663</v>
      </c>
      <c r="E16" s="1264">
        <v>97917650.996029049</v>
      </c>
      <c r="F16" s="1229">
        <f t="shared" si="2"/>
        <v>8</v>
      </c>
      <c r="G16" s="1198"/>
      <c r="H16" s="1198"/>
    </row>
    <row r="17" spans="1:8" ht="15.75" thickBot="1" x14ac:dyDescent="0.3">
      <c r="A17" s="1229">
        <f t="shared" si="0"/>
        <v>9</v>
      </c>
      <c r="B17" s="742" t="s">
        <v>1814</v>
      </c>
      <c r="C17" s="1230">
        <f t="shared" ref="C17:E17" si="3">SUM(C15:C16)</f>
        <v>66832479.818621993</v>
      </c>
      <c r="D17" s="1230">
        <f t="shared" si="3"/>
        <v>85713329.360526636</v>
      </c>
      <c r="E17" s="1230">
        <f t="shared" si="3"/>
        <v>101441476.01144555</v>
      </c>
      <c r="F17" s="1229">
        <f t="shared" si="2"/>
        <v>9</v>
      </c>
      <c r="G17" s="1208"/>
      <c r="H17" s="1208"/>
    </row>
    <row r="18" spans="1:8" ht="15.75" thickTop="1" x14ac:dyDescent="0.25">
      <c r="A18" s="1229">
        <f t="shared" si="0"/>
        <v>10</v>
      </c>
      <c r="B18" s="742"/>
      <c r="C18" s="742"/>
      <c r="D18" s="742"/>
      <c r="E18" s="742"/>
      <c r="F18" s="1229">
        <f t="shared" si="2"/>
        <v>10</v>
      </c>
      <c r="G18" s="1208"/>
      <c r="H18" s="1208"/>
    </row>
    <row r="19" spans="1:8" x14ac:dyDescent="0.25">
      <c r="A19" s="1229">
        <f t="shared" si="0"/>
        <v>11</v>
      </c>
      <c r="B19" s="742" t="s">
        <v>1815</v>
      </c>
      <c r="C19" s="1265">
        <f t="shared" ref="C19:E19" si="4">+C17/C11</f>
        <v>0.20621430742282665</v>
      </c>
      <c r="D19" s="1265">
        <f t="shared" si="4"/>
        <v>0.27118071896497825</v>
      </c>
      <c r="E19" s="1265">
        <f t="shared" si="4"/>
        <v>0.28928423202678283</v>
      </c>
      <c r="F19" s="1229">
        <f t="shared" si="2"/>
        <v>11</v>
      </c>
      <c r="G19" s="1209"/>
      <c r="H19" s="1209"/>
    </row>
    <row r="20" spans="1:8" x14ac:dyDescent="0.25">
      <c r="A20" s="1229">
        <f t="shared" si="0"/>
        <v>12</v>
      </c>
      <c r="B20" s="742"/>
      <c r="C20" s="742"/>
      <c r="D20" s="742"/>
      <c r="E20" s="742"/>
      <c r="F20" s="1229">
        <f t="shared" si="2"/>
        <v>12</v>
      </c>
      <c r="G20" s="1198"/>
      <c r="H20" s="1198"/>
    </row>
    <row r="21" spans="1:8" x14ac:dyDescent="0.25">
      <c r="A21" s="1229">
        <f t="shared" si="0"/>
        <v>13</v>
      </c>
      <c r="B21" s="742" t="s">
        <v>1818</v>
      </c>
      <c r="E21" s="1266">
        <f>AVERAGE(C19:E19)</f>
        <v>0.25555975280486259</v>
      </c>
      <c r="F21" s="1229">
        <f t="shared" si="2"/>
        <v>13</v>
      </c>
      <c r="G21" s="1198"/>
      <c r="H21" s="1198"/>
    </row>
    <row r="22" spans="1:8" x14ac:dyDescent="0.25">
      <c r="A22" s="749"/>
      <c r="B22" s="749"/>
      <c r="C22" s="749"/>
      <c r="D22" s="749"/>
      <c r="E22" s="749"/>
      <c r="F22" s="749"/>
      <c r="G22" s="1209"/>
      <c r="H22" s="1198"/>
    </row>
  </sheetData>
  <pageMargins left="0.7" right="0.7" top="0.75" bottom="0.75" header="0.3" footer="0.3"/>
  <pageSetup orientation="landscape" r:id="rId1"/>
  <headerFooter scaleWithDoc="0">
    <oddFooter>&amp;C&amp;A</oddFooter>
  </headerFooter>
  <customProperties>
    <customPr name="_pios_id" r:id="rId2"/>
  </customPropertie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I142"/>
  <sheetViews>
    <sheetView zoomScale="80" zoomScaleNormal="80" workbookViewId="0">
      <selection activeCell="L31" sqref="L31"/>
    </sheetView>
  </sheetViews>
  <sheetFormatPr defaultColWidth="9.28515625" defaultRowHeight="15.75" x14ac:dyDescent="0.25"/>
  <cols>
    <col min="1" max="1" width="5.28515625" style="217" customWidth="1"/>
    <col min="2" max="2" width="35.28515625" style="1" customWidth="1"/>
    <col min="3" max="3" width="18.5703125" style="86" customWidth="1"/>
    <col min="4" max="4" width="62.5703125" style="86" customWidth="1"/>
    <col min="5" max="5" width="5.28515625" style="299" customWidth="1"/>
    <col min="6" max="6" width="9.42578125" style="1" bestFit="1" customWidth="1"/>
    <col min="7" max="16384" width="9.28515625" style="1"/>
  </cols>
  <sheetData>
    <row r="1" spans="1:9" ht="18.75" x14ac:dyDescent="0.25">
      <c r="G1" s="1200"/>
      <c r="H1" s="1200"/>
      <c r="I1" s="276"/>
    </row>
    <row r="2" spans="1:9" s="31" customFormat="1" x14ac:dyDescent="0.25">
      <c r="A2" s="4"/>
      <c r="B2" s="1316" t="s">
        <v>0</v>
      </c>
      <c r="C2" s="1316"/>
      <c r="D2" s="1316"/>
      <c r="E2" s="4"/>
      <c r="F2" s="1"/>
    </row>
    <row r="3" spans="1:9" s="31" customFormat="1" x14ac:dyDescent="0.25">
      <c r="A3" s="4"/>
      <c r="B3" s="1316" t="s">
        <v>855</v>
      </c>
      <c r="C3" s="1316"/>
      <c r="D3" s="1316"/>
      <c r="E3" s="4"/>
      <c r="F3" s="1"/>
    </row>
    <row r="4" spans="1:9" s="31" customFormat="1" x14ac:dyDescent="0.25">
      <c r="A4" s="4"/>
      <c r="B4" s="1316" t="s">
        <v>856</v>
      </c>
      <c r="C4" s="1316"/>
      <c r="D4" s="1316"/>
      <c r="E4" s="4"/>
      <c r="F4" s="1"/>
    </row>
    <row r="5" spans="1:9" s="31" customFormat="1" x14ac:dyDescent="0.25">
      <c r="A5" s="4"/>
      <c r="B5" s="1316" t="str">
        <f>'AD-1'!B5</f>
        <v>BASE PERIOD / TRUE UP PERIOD - 12/31/2025 PER BOOK</v>
      </c>
      <c r="C5" s="1316"/>
      <c r="D5" s="1316"/>
      <c r="E5" s="4"/>
      <c r="F5" s="1"/>
    </row>
    <row r="6" spans="1:9" s="31" customFormat="1" x14ac:dyDescent="0.25">
      <c r="A6" s="4"/>
      <c r="B6" s="1340" t="s">
        <v>4</v>
      </c>
      <c r="C6" s="1340"/>
      <c r="D6" s="1340"/>
      <c r="E6" s="299" t="s">
        <v>1</v>
      </c>
    </row>
    <row r="7" spans="1:9" s="31" customFormat="1" x14ac:dyDescent="0.25">
      <c r="A7" s="4"/>
      <c r="B7" s="451"/>
      <c r="C7" s="451"/>
      <c r="D7" s="451"/>
      <c r="E7" s="299"/>
    </row>
    <row r="8" spans="1:9" s="31" customFormat="1" x14ac:dyDescent="0.25">
      <c r="A8" s="4"/>
      <c r="B8" s="1316" t="s">
        <v>863</v>
      </c>
      <c r="C8" s="1316"/>
      <c r="D8" s="1316"/>
      <c r="E8" s="299" t="s">
        <v>1</v>
      </c>
    </row>
    <row r="9" spans="1:9" s="31" customFormat="1" x14ac:dyDescent="0.25">
      <c r="A9" s="4"/>
      <c r="B9" s="1046"/>
      <c r="C9" s="1039"/>
      <c r="D9" s="86"/>
      <c r="E9" s="299"/>
    </row>
    <row r="10" spans="1:9" s="31" customFormat="1" x14ac:dyDescent="0.25">
      <c r="A10" s="4"/>
      <c r="B10" s="1047"/>
      <c r="C10" s="943" t="s">
        <v>180</v>
      </c>
      <c r="D10" s="925"/>
    </row>
    <row r="11" spans="1:9" s="31" customFormat="1" x14ac:dyDescent="0.25">
      <c r="A11" s="4" t="s">
        <v>5</v>
      </c>
      <c r="B11" s="269"/>
      <c r="C11" s="269" t="s">
        <v>859</v>
      </c>
      <c r="D11" s="269"/>
      <c r="E11" s="4" t="s">
        <v>5</v>
      </c>
    </row>
    <row r="12" spans="1:9" s="31" customFormat="1" x14ac:dyDescent="0.25">
      <c r="A12" s="4" t="s">
        <v>6</v>
      </c>
      <c r="B12" s="274" t="s">
        <v>260</v>
      </c>
      <c r="C12" s="269" t="s">
        <v>864</v>
      </c>
      <c r="D12" s="274" t="s">
        <v>8</v>
      </c>
      <c r="E12" s="4" t="s">
        <v>6</v>
      </c>
    </row>
    <row r="13" spans="1:9" s="31" customFormat="1" x14ac:dyDescent="0.25">
      <c r="A13" s="448">
        <v>1</v>
      </c>
      <c r="B13" s="928" t="str">
        <f>'AL-1'!B15</f>
        <v>Dec-24</v>
      </c>
      <c r="C13" s="578">
        <v>98055.368438264995</v>
      </c>
      <c r="D13" s="939" t="s">
        <v>263</v>
      </c>
      <c r="E13" s="448">
        <f>A13</f>
        <v>1</v>
      </c>
      <c r="F13" s="452"/>
    </row>
    <row r="14" spans="1:9" s="31" customFormat="1" x14ac:dyDescent="0.25">
      <c r="A14" s="448">
        <f>A13+1</f>
        <v>2</v>
      </c>
      <c r="B14" s="928" t="str">
        <f>'AL-1'!B16</f>
        <v>Jan-25</v>
      </c>
      <c r="C14" s="232">
        <v>96722.312665987003</v>
      </c>
      <c r="D14" s="939"/>
      <c r="E14" s="448">
        <f>E13+1</f>
        <v>2</v>
      </c>
      <c r="F14" s="452"/>
    </row>
    <row r="15" spans="1:9" s="31" customFormat="1" x14ac:dyDescent="0.25">
      <c r="A15" s="448">
        <f t="shared" ref="A15:A30" si="0">A14+1</f>
        <v>3</v>
      </c>
      <c r="B15" s="931" t="s">
        <v>265</v>
      </c>
      <c r="C15" s="232">
        <v>78948.134131009996</v>
      </c>
      <c r="D15" s="939"/>
      <c r="E15" s="448">
        <f t="shared" ref="E15:E30" si="1">E14+1</f>
        <v>3</v>
      </c>
      <c r="F15" s="452"/>
    </row>
    <row r="16" spans="1:9" s="31" customFormat="1" x14ac:dyDescent="0.25">
      <c r="A16" s="448">
        <f t="shared" si="0"/>
        <v>4</v>
      </c>
      <c r="B16" s="931" t="s">
        <v>266</v>
      </c>
      <c r="C16" s="232">
        <v>82032.982381402006</v>
      </c>
      <c r="D16" s="939"/>
      <c r="E16" s="448">
        <f t="shared" si="1"/>
        <v>4</v>
      </c>
      <c r="F16" s="452"/>
    </row>
    <row r="17" spans="1:6" s="31" customFormat="1" x14ac:dyDescent="0.25">
      <c r="A17" s="448">
        <f t="shared" si="0"/>
        <v>5</v>
      </c>
      <c r="B17" s="931" t="s">
        <v>267</v>
      </c>
      <c r="C17" s="232">
        <v>106187.77473369701</v>
      </c>
      <c r="D17" s="939"/>
      <c r="E17" s="448">
        <f t="shared" si="1"/>
        <v>5</v>
      </c>
      <c r="F17" s="452"/>
    </row>
    <row r="18" spans="1:6" s="31" customFormat="1" x14ac:dyDescent="0.25">
      <c r="A18" s="448">
        <f t="shared" si="0"/>
        <v>6</v>
      </c>
      <c r="B18" s="931" t="s">
        <v>268</v>
      </c>
      <c r="C18" s="232">
        <v>69961.001699140994</v>
      </c>
      <c r="D18" s="939"/>
      <c r="E18" s="448">
        <f t="shared" si="1"/>
        <v>6</v>
      </c>
      <c r="F18" s="452"/>
    </row>
    <row r="19" spans="1:6" s="31" customFormat="1" x14ac:dyDescent="0.25">
      <c r="A19" s="448">
        <f t="shared" si="0"/>
        <v>7</v>
      </c>
      <c r="B19" s="931" t="s">
        <v>269</v>
      </c>
      <c r="C19" s="232">
        <v>34031.211556073999</v>
      </c>
      <c r="D19" s="939"/>
      <c r="E19" s="448">
        <f t="shared" si="1"/>
        <v>7</v>
      </c>
      <c r="F19" s="452"/>
    </row>
    <row r="20" spans="1:6" s="31" customFormat="1" x14ac:dyDescent="0.25">
      <c r="A20" s="448">
        <f t="shared" si="0"/>
        <v>8</v>
      </c>
      <c r="B20" s="931" t="s">
        <v>270</v>
      </c>
      <c r="C20" s="232">
        <v>113345.74320083301</v>
      </c>
      <c r="D20" s="939"/>
      <c r="E20" s="448">
        <f t="shared" si="1"/>
        <v>8</v>
      </c>
      <c r="F20" s="452"/>
    </row>
    <row r="21" spans="1:6" s="31" customFormat="1" x14ac:dyDescent="0.25">
      <c r="A21" s="448">
        <f t="shared" si="0"/>
        <v>9</v>
      </c>
      <c r="B21" s="931" t="s">
        <v>271</v>
      </c>
      <c r="C21" s="232">
        <v>112729.78695035701</v>
      </c>
      <c r="D21" s="939"/>
      <c r="E21" s="448">
        <f t="shared" si="1"/>
        <v>9</v>
      </c>
      <c r="F21" s="452"/>
    </row>
    <row r="22" spans="1:6" s="31" customFormat="1" x14ac:dyDescent="0.25">
      <c r="A22" s="448">
        <f t="shared" si="0"/>
        <v>10</v>
      </c>
      <c r="B22" s="931" t="s">
        <v>272</v>
      </c>
      <c r="C22" s="232">
        <v>110256.987112098</v>
      </c>
      <c r="D22" s="939"/>
      <c r="E22" s="448">
        <f t="shared" si="1"/>
        <v>10</v>
      </c>
      <c r="F22" s="452"/>
    </row>
    <row r="23" spans="1:6" s="31" customFormat="1" x14ac:dyDescent="0.25">
      <c r="A23" s="448">
        <f t="shared" si="0"/>
        <v>11</v>
      </c>
      <c r="B23" s="931" t="s">
        <v>273</v>
      </c>
      <c r="C23" s="232">
        <v>97121.935394103988</v>
      </c>
      <c r="D23" s="939"/>
      <c r="E23" s="448">
        <f t="shared" si="1"/>
        <v>11</v>
      </c>
      <c r="F23" s="452"/>
    </row>
    <row r="24" spans="1:6" s="31" customFormat="1" x14ac:dyDescent="0.25">
      <c r="A24" s="448">
        <f t="shared" si="0"/>
        <v>12</v>
      </c>
      <c r="B24" s="931" t="s">
        <v>274</v>
      </c>
      <c r="C24" s="232">
        <v>81007.852092597022</v>
      </c>
      <c r="D24" s="939"/>
      <c r="E24" s="448">
        <f t="shared" si="1"/>
        <v>12</v>
      </c>
      <c r="F24" s="452"/>
    </row>
    <row r="25" spans="1:6" s="31" customFormat="1" x14ac:dyDescent="0.25">
      <c r="A25" s="448">
        <f t="shared" si="0"/>
        <v>13</v>
      </c>
      <c r="B25" s="629" t="str">
        <f>'AL-1'!B27</f>
        <v>Dec-25</v>
      </c>
      <c r="C25" s="93">
        <v>80064.991414104006</v>
      </c>
      <c r="D25" s="68" t="s">
        <v>263</v>
      </c>
      <c r="E25" s="448">
        <f t="shared" si="1"/>
        <v>13</v>
      </c>
      <c r="F25" s="452"/>
    </row>
    <row r="26" spans="1:6" s="31" customFormat="1" x14ac:dyDescent="0.25">
      <c r="A26" s="448">
        <f t="shared" si="0"/>
        <v>14</v>
      </c>
      <c r="B26" s="1041"/>
      <c r="C26" s="1044"/>
      <c r="D26" s="1043"/>
      <c r="E26" s="448">
        <f t="shared" si="1"/>
        <v>14</v>
      </c>
      <c r="F26" s="452"/>
    </row>
    <row r="27" spans="1:6" s="31" customFormat="1" x14ac:dyDescent="0.25">
      <c r="A27" s="448">
        <f t="shared" si="0"/>
        <v>15</v>
      </c>
      <c r="B27" s="277" t="s">
        <v>276</v>
      </c>
      <c r="C27" s="961">
        <f>SUM(C13:C25)</f>
        <v>1160466.081769669</v>
      </c>
      <c r="D27" s="933" t="s">
        <v>277</v>
      </c>
      <c r="E27" s="448">
        <f t="shared" si="1"/>
        <v>15</v>
      </c>
    </row>
    <row r="28" spans="1:6" s="31" customFormat="1" x14ac:dyDescent="0.25">
      <c r="A28" s="448">
        <f t="shared" si="0"/>
        <v>16</v>
      </c>
      <c r="B28" s="116"/>
      <c r="C28" s="92"/>
      <c r="D28" s="68"/>
      <c r="E28" s="448">
        <f t="shared" si="1"/>
        <v>16</v>
      </c>
    </row>
    <row r="29" spans="1:6" s="31" customFormat="1" x14ac:dyDescent="0.25">
      <c r="A29" s="448">
        <f t="shared" si="0"/>
        <v>17</v>
      </c>
      <c r="B29" s="924"/>
      <c r="C29" s="1044"/>
      <c r="D29" s="1045"/>
      <c r="E29" s="448">
        <f t="shared" si="1"/>
        <v>17</v>
      </c>
    </row>
    <row r="30" spans="1:6" s="31" customFormat="1" x14ac:dyDescent="0.25">
      <c r="A30" s="448">
        <f t="shared" si="0"/>
        <v>18</v>
      </c>
      <c r="B30" s="277" t="s">
        <v>451</v>
      </c>
      <c r="C30" s="961">
        <f>C27/13</f>
        <v>89266.621674589915</v>
      </c>
      <c r="D30" s="869" t="s">
        <v>865</v>
      </c>
      <c r="E30" s="448">
        <f t="shared" si="1"/>
        <v>18</v>
      </c>
      <c r="F30" s="452"/>
    </row>
    <row r="31" spans="1:6" s="31" customFormat="1" x14ac:dyDescent="0.25">
      <c r="A31" s="448">
        <f>A30+1</f>
        <v>19</v>
      </c>
      <c r="B31" s="116"/>
      <c r="C31" s="67"/>
      <c r="D31" s="300"/>
      <c r="E31" s="448">
        <f>E30+1</f>
        <v>19</v>
      </c>
    </row>
    <row r="32" spans="1:6" s="31" customFormat="1" x14ac:dyDescent="0.25">
      <c r="A32" s="4"/>
      <c r="C32" s="6"/>
      <c r="D32" s="6"/>
      <c r="E32" s="11"/>
    </row>
    <row r="33" spans="1:8" s="31" customFormat="1" x14ac:dyDescent="0.25">
      <c r="A33" s="34"/>
      <c r="E33" s="11"/>
    </row>
    <row r="34" spans="1:8" s="31" customFormat="1" x14ac:dyDescent="0.25">
      <c r="A34"/>
      <c r="B34"/>
      <c r="C34"/>
      <c r="D34"/>
      <c r="E34"/>
      <c r="F34"/>
      <c r="G34" s="254"/>
    </row>
    <row r="35" spans="1:8" s="31" customFormat="1" x14ac:dyDescent="0.25">
      <c r="A35"/>
      <c r="B35"/>
      <c r="C35"/>
      <c r="D35"/>
      <c r="E35"/>
      <c r="F35"/>
      <c r="H35" s="11"/>
    </row>
    <row r="36" spans="1:8" s="31" customFormat="1" x14ac:dyDescent="0.25">
      <c r="A36"/>
      <c r="B36"/>
      <c r="C36"/>
      <c r="D36"/>
      <c r="E36"/>
      <c r="F36"/>
    </row>
    <row r="37" spans="1:8" s="31" customFormat="1" x14ac:dyDescent="0.25">
      <c r="A37" s="4"/>
      <c r="C37" s="6"/>
      <c r="D37" s="6"/>
      <c r="E37" s="11"/>
    </row>
    <row r="38" spans="1:8" s="31" customFormat="1" x14ac:dyDescent="0.25">
      <c r="A38" s="4"/>
      <c r="C38" s="6"/>
      <c r="D38" s="6"/>
      <c r="E38" s="11"/>
    </row>
    <row r="39" spans="1:8" s="31" customFormat="1" x14ac:dyDescent="0.25">
      <c r="A39" s="4"/>
      <c r="C39" s="6"/>
      <c r="D39" s="6"/>
      <c r="E39" s="11"/>
    </row>
    <row r="40" spans="1:8" s="31" customFormat="1" x14ac:dyDescent="0.25">
      <c r="A40" s="4"/>
      <c r="C40" s="6"/>
      <c r="D40" s="6"/>
      <c r="E40" s="11"/>
    </row>
    <row r="41" spans="1:8" s="31" customFormat="1" x14ac:dyDescent="0.25">
      <c r="A41" s="4"/>
      <c r="C41" s="6"/>
      <c r="D41" s="6"/>
      <c r="E41" s="11"/>
    </row>
    <row r="42" spans="1:8" s="31" customFormat="1" x14ac:dyDescent="0.25">
      <c r="A42" s="4"/>
      <c r="C42" s="6"/>
      <c r="D42" s="6"/>
      <c r="E42" s="11"/>
    </row>
    <row r="43" spans="1:8" s="31" customFormat="1" x14ac:dyDescent="0.25">
      <c r="A43" s="4"/>
      <c r="C43" s="6"/>
      <c r="D43" s="6"/>
      <c r="E43" s="11"/>
    </row>
    <row r="44" spans="1:8" s="31" customFormat="1" x14ac:dyDescent="0.25">
      <c r="A44" s="4"/>
      <c r="C44" s="6"/>
      <c r="D44" s="6"/>
      <c r="E44" s="11"/>
    </row>
    <row r="45" spans="1:8" s="31" customFormat="1" x14ac:dyDescent="0.25">
      <c r="A45" s="4"/>
      <c r="C45" s="6"/>
      <c r="D45" s="6"/>
      <c r="E45" s="11"/>
    </row>
    <row r="46" spans="1:8" s="31" customFormat="1" x14ac:dyDescent="0.25">
      <c r="A46" s="4"/>
      <c r="C46" s="6"/>
      <c r="D46" s="6"/>
      <c r="E46" s="11"/>
    </row>
    <row r="47" spans="1:8" s="31" customFormat="1" x14ac:dyDescent="0.25">
      <c r="A47" s="4"/>
      <c r="C47" s="6"/>
      <c r="D47" s="6"/>
      <c r="E47" s="11"/>
    </row>
    <row r="48" spans="1:8" s="31" customFormat="1" x14ac:dyDescent="0.25">
      <c r="A48" s="4"/>
      <c r="C48" s="6"/>
      <c r="D48" s="6"/>
      <c r="E48" s="11"/>
    </row>
    <row r="49" spans="1:5" s="31" customFormat="1" x14ac:dyDescent="0.25">
      <c r="A49" s="4"/>
      <c r="C49" s="6"/>
      <c r="D49" s="6"/>
      <c r="E49" s="11"/>
    </row>
    <row r="50" spans="1:5" s="31" customFormat="1" x14ac:dyDescent="0.25">
      <c r="A50" s="4"/>
      <c r="C50" s="6"/>
      <c r="D50" s="6"/>
      <c r="E50" s="11"/>
    </row>
    <row r="51" spans="1:5" s="31" customFormat="1" x14ac:dyDescent="0.25">
      <c r="A51" s="4"/>
      <c r="C51" s="6"/>
      <c r="D51" s="6"/>
      <c r="E51" s="11"/>
    </row>
    <row r="52" spans="1:5" s="31" customFormat="1" x14ac:dyDescent="0.25">
      <c r="A52" s="4"/>
      <c r="C52" s="6"/>
      <c r="D52" s="6"/>
      <c r="E52" s="11"/>
    </row>
    <row r="53" spans="1:5" s="31" customFormat="1" x14ac:dyDescent="0.25">
      <c r="A53" s="4"/>
      <c r="C53" s="6"/>
      <c r="D53" s="6"/>
      <c r="E53" s="11"/>
    </row>
    <row r="54" spans="1:5" s="31" customFormat="1" x14ac:dyDescent="0.25">
      <c r="A54" s="4"/>
      <c r="C54" s="6"/>
      <c r="D54" s="6"/>
      <c r="E54" s="11"/>
    </row>
    <row r="55" spans="1:5" s="31" customFormat="1" x14ac:dyDescent="0.25">
      <c r="A55" s="4"/>
      <c r="C55" s="6"/>
      <c r="D55" s="6"/>
      <c r="E55" s="11"/>
    </row>
    <row r="56" spans="1:5" s="31" customFormat="1" x14ac:dyDescent="0.25">
      <c r="A56" s="4"/>
      <c r="C56" s="6"/>
      <c r="D56" s="6"/>
      <c r="E56" s="11"/>
    </row>
    <row r="57" spans="1:5" s="31" customFormat="1" x14ac:dyDescent="0.25">
      <c r="A57" s="4"/>
      <c r="C57" s="6"/>
      <c r="D57" s="6"/>
      <c r="E57" s="11"/>
    </row>
    <row r="58" spans="1:5" s="31" customFormat="1" x14ac:dyDescent="0.25">
      <c r="A58" s="4"/>
      <c r="C58" s="6"/>
      <c r="D58" s="6"/>
      <c r="E58" s="11"/>
    </row>
    <row r="59" spans="1:5" s="31" customFormat="1" x14ac:dyDescent="0.25">
      <c r="A59" s="4"/>
      <c r="C59" s="6"/>
      <c r="D59" s="6"/>
      <c r="E59" s="11"/>
    </row>
    <row r="60" spans="1:5" s="31" customFormat="1" x14ac:dyDescent="0.25">
      <c r="A60" s="4"/>
      <c r="C60" s="6"/>
      <c r="D60" s="6"/>
      <c r="E60" s="11"/>
    </row>
    <row r="61" spans="1:5" s="31" customFormat="1" x14ac:dyDescent="0.25">
      <c r="A61" s="4"/>
      <c r="C61" s="6"/>
      <c r="D61" s="6"/>
      <c r="E61" s="11"/>
    </row>
    <row r="62" spans="1:5" s="31" customFormat="1" x14ac:dyDescent="0.25">
      <c r="A62" s="4"/>
      <c r="C62" s="6"/>
      <c r="D62" s="6"/>
      <c r="E62" s="11"/>
    </row>
    <row r="63" spans="1:5" s="31" customFormat="1" x14ac:dyDescent="0.25">
      <c r="A63" s="4"/>
      <c r="C63" s="6"/>
      <c r="D63" s="6"/>
      <c r="E63" s="11"/>
    </row>
    <row r="64" spans="1:5" s="31" customFormat="1" x14ac:dyDescent="0.25">
      <c r="A64" s="4"/>
      <c r="C64" s="6"/>
      <c r="D64" s="6"/>
      <c r="E64" s="11"/>
    </row>
    <row r="65" spans="1:5" s="31" customFormat="1" x14ac:dyDescent="0.25">
      <c r="A65" s="4"/>
      <c r="C65" s="6"/>
      <c r="D65" s="6"/>
      <c r="E65" s="11"/>
    </row>
    <row r="66" spans="1:5" s="31" customFormat="1" x14ac:dyDescent="0.25">
      <c r="A66" s="4"/>
      <c r="C66" s="6"/>
      <c r="D66" s="6"/>
      <c r="E66" s="11"/>
    </row>
    <row r="67" spans="1:5" s="31" customFormat="1" x14ac:dyDescent="0.25">
      <c r="A67" s="4"/>
      <c r="C67" s="6"/>
      <c r="D67" s="6"/>
      <c r="E67" s="11"/>
    </row>
    <row r="68" spans="1:5" s="31" customFormat="1" x14ac:dyDescent="0.25">
      <c r="A68" s="4"/>
      <c r="C68" s="6"/>
      <c r="D68" s="6"/>
      <c r="E68" s="11"/>
    </row>
    <row r="69" spans="1:5" s="31" customFormat="1" x14ac:dyDescent="0.25">
      <c r="A69" s="4"/>
      <c r="C69" s="6"/>
      <c r="D69" s="6"/>
      <c r="E69" s="11"/>
    </row>
    <row r="70" spans="1:5" s="31" customFormat="1" x14ac:dyDescent="0.25">
      <c r="A70" s="4"/>
      <c r="C70" s="6"/>
      <c r="D70" s="6"/>
      <c r="E70" s="11"/>
    </row>
    <row r="71" spans="1:5" s="31" customFormat="1" x14ac:dyDescent="0.25">
      <c r="A71" s="4"/>
      <c r="C71" s="6"/>
      <c r="D71" s="6"/>
      <c r="E71" s="11"/>
    </row>
    <row r="72" spans="1:5" s="31" customFormat="1" x14ac:dyDescent="0.25">
      <c r="A72" s="4"/>
      <c r="C72" s="6"/>
      <c r="D72" s="6"/>
      <c r="E72" s="11"/>
    </row>
    <row r="73" spans="1:5" s="31" customFormat="1" x14ac:dyDescent="0.25">
      <c r="A73" s="4"/>
      <c r="C73" s="6"/>
      <c r="D73" s="6"/>
      <c r="E73" s="11"/>
    </row>
    <row r="74" spans="1:5" s="31" customFormat="1" x14ac:dyDescent="0.25">
      <c r="A74" s="4"/>
      <c r="C74" s="6"/>
      <c r="D74" s="6"/>
      <c r="E74" s="11"/>
    </row>
    <row r="75" spans="1:5" s="31" customFormat="1" x14ac:dyDescent="0.25">
      <c r="A75" s="4"/>
      <c r="C75" s="6"/>
      <c r="D75" s="6"/>
      <c r="E75" s="11"/>
    </row>
    <row r="76" spans="1:5" s="31" customFormat="1" x14ac:dyDescent="0.25">
      <c r="A76" s="4"/>
      <c r="C76" s="6"/>
      <c r="D76" s="6"/>
      <c r="E76" s="11"/>
    </row>
    <row r="77" spans="1:5" s="31" customFormat="1" x14ac:dyDescent="0.25">
      <c r="A77" s="4"/>
      <c r="C77" s="6"/>
      <c r="D77" s="6"/>
      <c r="E77" s="11"/>
    </row>
    <row r="78" spans="1:5" s="31" customFormat="1" x14ac:dyDescent="0.25">
      <c r="A78" s="4"/>
      <c r="C78" s="6"/>
      <c r="D78" s="6"/>
      <c r="E78" s="11"/>
    </row>
    <row r="79" spans="1:5" s="31" customFormat="1" x14ac:dyDescent="0.25">
      <c r="A79" s="4"/>
      <c r="C79" s="6"/>
      <c r="D79" s="6"/>
      <c r="E79" s="11"/>
    </row>
    <row r="80" spans="1:5" s="31" customFormat="1" x14ac:dyDescent="0.25">
      <c r="A80" s="4"/>
      <c r="C80" s="6"/>
      <c r="D80" s="6"/>
      <c r="E80" s="11"/>
    </row>
    <row r="81" spans="1:5" s="31" customFormat="1" x14ac:dyDescent="0.25">
      <c r="A81" s="4"/>
      <c r="C81" s="6"/>
      <c r="D81" s="6"/>
      <c r="E81" s="11"/>
    </row>
    <row r="82" spans="1:5" s="31" customFormat="1" x14ac:dyDescent="0.25">
      <c r="A82" s="4"/>
      <c r="C82" s="6"/>
      <c r="D82" s="6"/>
      <c r="E82" s="11"/>
    </row>
    <row r="83" spans="1:5" s="31" customFormat="1" x14ac:dyDescent="0.25">
      <c r="A83" s="4"/>
      <c r="C83" s="6"/>
      <c r="D83" s="6"/>
      <c r="E83" s="11"/>
    </row>
    <row r="84" spans="1:5" s="31" customFormat="1" x14ac:dyDescent="0.25">
      <c r="A84" s="4"/>
      <c r="C84" s="6"/>
      <c r="D84" s="6"/>
      <c r="E84" s="11"/>
    </row>
    <row r="85" spans="1:5" s="31" customFormat="1" x14ac:dyDescent="0.25">
      <c r="A85" s="4"/>
      <c r="C85" s="6"/>
      <c r="D85" s="6"/>
      <c r="E85" s="11"/>
    </row>
    <row r="86" spans="1:5" s="31" customFormat="1" x14ac:dyDescent="0.25">
      <c r="A86" s="4"/>
      <c r="C86" s="6"/>
      <c r="D86" s="6"/>
      <c r="E86" s="11"/>
    </row>
    <row r="87" spans="1:5" s="31" customFormat="1" x14ac:dyDescent="0.25">
      <c r="A87" s="4"/>
      <c r="C87" s="6"/>
      <c r="D87" s="6"/>
      <c r="E87" s="11"/>
    </row>
    <row r="88" spans="1:5" s="31" customFormat="1" x14ac:dyDescent="0.25">
      <c r="A88" s="4"/>
      <c r="C88" s="6"/>
      <c r="D88" s="6"/>
      <c r="E88" s="11"/>
    </row>
    <row r="89" spans="1:5" s="31" customFormat="1" x14ac:dyDescent="0.25">
      <c r="A89" s="4"/>
      <c r="C89" s="6"/>
      <c r="D89" s="6"/>
      <c r="E89" s="11"/>
    </row>
    <row r="90" spans="1:5" s="31" customFormat="1" x14ac:dyDescent="0.25">
      <c r="A90" s="4"/>
      <c r="C90" s="6"/>
      <c r="D90" s="6"/>
      <c r="E90" s="11"/>
    </row>
    <row r="91" spans="1:5" s="31" customFormat="1" x14ac:dyDescent="0.25">
      <c r="A91" s="4"/>
      <c r="C91" s="6"/>
      <c r="D91" s="6"/>
      <c r="E91" s="11"/>
    </row>
    <row r="92" spans="1:5" s="31" customFormat="1" x14ac:dyDescent="0.25">
      <c r="A92" s="4"/>
      <c r="C92" s="6"/>
      <c r="D92" s="6"/>
      <c r="E92" s="11"/>
    </row>
    <row r="93" spans="1:5" s="31" customFormat="1" x14ac:dyDescent="0.25">
      <c r="A93" s="4"/>
      <c r="C93" s="6"/>
      <c r="D93" s="6"/>
      <c r="E93" s="11"/>
    </row>
    <row r="94" spans="1:5" s="31" customFormat="1" x14ac:dyDescent="0.25">
      <c r="A94" s="4"/>
      <c r="C94" s="6"/>
      <c r="D94" s="6"/>
      <c r="E94" s="11"/>
    </row>
    <row r="95" spans="1:5" s="31" customFormat="1" x14ac:dyDescent="0.25">
      <c r="A95" s="4"/>
      <c r="C95" s="6"/>
      <c r="D95" s="6"/>
      <c r="E95" s="11"/>
    </row>
    <row r="96" spans="1:5" s="31" customFormat="1" x14ac:dyDescent="0.25">
      <c r="A96" s="4"/>
      <c r="C96" s="6"/>
      <c r="D96" s="6"/>
      <c r="E96" s="11"/>
    </row>
    <row r="97" spans="1:5" s="31" customFormat="1" x14ac:dyDescent="0.25">
      <c r="A97" s="4"/>
      <c r="C97" s="6"/>
      <c r="D97" s="6"/>
      <c r="E97" s="11"/>
    </row>
    <row r="98" spans="1:5" s="31" customFormat="1" x14ac:dyDescent="0.25">
      <c r="A98" s="4"/>
      <c r="C98" s="6"/>
      <c r="D98" s="6"/>
      <c r="E98" s="11"/>
    </row>
    <row r="99" spans="1:5" s="31" customFormat="1" x14ac:dyDescent="0.25">
      <c r="A99" s="4"/>
      <c r="C99" s="6"/>
      <c r="D99" s="6"/>
      <c r="E99" s="11"/>
    </row>
    <row r="100" spans="1:5" s="31" customFormat="1" x14ac:dyDescent="0.25">
      <c r="A100" s="4"/>
      <c r="C100" s="6"/>
      <c r="D100" s="6"/>
      <c r="E100" s="11"/>
    </row>
    <row r="101" spans="1:5" s="31" customFormat="1" x14ac:dyDescent="0.25">
      <c r="A101" s="4"/>
      <c r="C101" s="6"/>
      <c r="D101" s="6"/>
      <c r="E101" s="11"/>
    </row>
    <row r="102" spans="1:5" s="31" customFormat="1" x14ac:dyDescent="0.25">
      <c r="A102" s="4"/>
      <c r="C102" s="6"/>
      <c r="D102" s="6"/>
      <c r="E102" s="11"/>
    </row>
    <row r="103" spans="1:5" s="31" customFormat="1" x14ac:dyDescent="0.25">
      <c r="A103" s="4"/>
      <c r="C103" s="6"/>
      <c r="D103" s="6"/>
      <c r="E103" s="11"/>
    </row>
    <row r="104" spans="1:5" s="31" customFormat="1" x14ac:dyDescent="0.25">
      <c r="A104" s="4"/>
      <c r="C104" s="6"/>
      <c r="D104" s="6"/>
      <c r="E104" s="11"/>
    </row>
    <row r="105" spans="1:5" s="31" customFormat="1" x14ac:dyDescent="0.25">
      <c r="A105" s="4"/>
      <c r="C105" s="6"/>
      <c r="D105" s="6"/>
      <c r="E105" s="11"/>
    </row>
    <row r="106" spans="1:5" s="31" customFormat="1" x14ac:dyDescent="0.25">
      <c r="A106" s="4"/>
      <c r="C106" s="6"/>
      <c r="D106" s="6"/>
      <c r="E106" s="11"/>
    </row>
    <row r="107" spans="1:5" s="31" customFormat="1" x14ac:dyDescent="0.25">
      <c r="A107" s="4"/>
      <c r="C107" s="6"/>
      <c r="D107" s="6"/>
      <c r="E107" s="11"/>
    </row>
    <row r="108" spans="1:5" s="31" customFormat="1" x14ac:dyDescent="0.25">
      <c r="A108" s="4"/>
      <c r="C108" s="6"/>
      <c r="D108" s="6"/>
      <c r="E108" s="11"/>
    </row>
    <row r="109" spans="1:5" s="31" customFormat="1" x14ac:dyDescent="0.25">
      <c r="A109" s="4"/>
      <c r="C109" s="6"/>
      <c r="D109" s="6"/>
      <c r="E109" s="11"/>
    </row>
    <row r="110" spans="1:5" s="31" customFormat="1" x14ac:dyDescent="0.25">
      <c r="A110" s="4"/>
      <c r="C110" s="6"/>
      <c r="D110" s="6"/>
      <c r="E110" s="11"/>
    </row>
    <row r="111" spans="1:5" s="31" customFormat="1" x14ac:dyDescent="0.25">
      <c r="A111" s="4"/>
      <c r="C111" s="6"/>
      <c r="D111" s="6"/>
      <c r="E111" s="11"/>
    </row>
    <row r="112" spans="1:5" s="31" customFormat="1" x14ac:dyDescent="0.25">
      <c r="A112" s="4"/>
      <c r="C112" s="6"/>
      <c r="D112" s="6"/>
      <c r="E112" s="11"/>
    </row>
    <row r="113" spans="1:5" s="31" customFormat="1" x14ac:dyDescent="0.25">
      <c r="A113" s="4"/>
      <c r="C113" s="6"/>
      <c r="D113" s="6"/>
      <c r="E113" s="11"/>
    </row>
    <row r="114" spans="1:5" s="31" customFormat="1" x14ac:dyDescent="0.25">
      <c r="A114" s="4"/>
      <c r="C114" s="6"/>
      <c r="D114" s="6"/>
      <c r="E114" s="11"/>
    </row>
    <row r="115" spans="1:5" s="31" customFormat="1" x14ac:dyDescent="0.25">
      <c r="A115" s="4"/>
      <c r="C115" s="6"/>
      <c r="D115" s="6"/>
      <c r="E115" s="11"/>
    </row>
    <row r="116" spans="1:5" s="31" customFormat="1" x14ac:dyDescent="0.25">
      <c r="A116" s="4"/>
      <c r="C116" s="6"/>
      <c r="D116" s="6"/>
      <c r="E116" s="11"/>
    </row>
    <row r="117" spans="1:5" s="31" customFormat="1" x14ac:dyDescent="0.25">
      <c r="A117" s="4"/>
      <c r="C117" s="6"/>
      <c r="D117" s="6"/>
      <c r="E117" s="11"/>
    </row>
    <row r="118" spans="1:5" s="31" customFormat="1" x14ac:dyDescent="0.25">
      <c r="A118" s="4"/>
      <c r="C118" s="6"/>
      <c r="D118" s="6"/>
      <c r="E118" s="11"/>
    </row>
    <row r="119" spans="1:5" s="31" customFormat="1" x14ac:dyDescent="0.25">
      <c r="A119" s="4"/>
      <c r="C119" s="6"/>
      <c r="D119" s="6"/>
      <c r="E119" s="11"/>
    </row>
    <row r="120" spans="1:5" s="31" customFormat="1" x14ac:dyDescent="0.25">
      <c r="A120" s="4"/>
      <c r="C120" s="6"/>
      <c r="D120" s="6"/>
      <c r="E120" s="11"/>
    </row>
    <row r="121" spans="1:5" s="31" customFormat="1" x14ac:dyDescent="0.25">
      <c r="A121" s="4"/>
      <c r="C121" s="6"/>
      <c r="D121" s="6"/>
      <c r="E121" s="11"/>
    </row>
    <row r="122" spans="1:5" s="31" customFormat="1" x14ac:dyDescent="0.25">
      <c r="A122" s="4"/>
      <c r="C122" s="6"/>
      <c r="D122" s="6"/>
      <c r="E122" s="11"/>
    </row>
    <row r="123" spans="1:5" s="31" customFormat="1" x14ac:dyDescent="0.25">
      <c r="A123" s="4"/>
      <c r="C123" s="6"/>
      <c r="D123" s="6"/>
      <c r="E123" s="11"/>
    </row>
    <row r="124" spans="1:5" s="31" customFormat="1" x14ac:dyDescent="0.25">
      <c r="A124" s="4"/>
      <c r="C124" s="6"/>
      <c r="D124" s="6"/>
      <c r="E124" s="11"/>
    </row>
    <row r="125" spans="1:5" s="31" customFormat="1" x14ac:dyDescent="0.25">
      <c r="A125" s="4"/>
      <c r="C125" s="6"/>
      <c r="D125" s="6"/>
      <c r="E125" s="11"/>
    </row>
    <row r="126" spans="1:5" s="31" customFormat="1" x14ac:dyDescent="0.25">
      <c r="A126" s="4"/>
      <c r="C126" s="6"/>
      <c r="D126" s="6"/>
      <c r="E126" s="11"/>
    </row>
    <row r="127" spans="1:5" s="31" customFormat="1" x14ac:dyDescent="0.25">
      <c r="A127" s="4"/>
      <c r="C127" s="6"/>
      <c r="D127" s="6"/>
      <c r="E127" s="11"/>
    </row>
    <row r="128" spans="1:5" s="31" customFormat="1" x14ac:dyDescent="0.25">
      <c r="A128" s="4"/>
      <c r="C128" s="6"/>
      <c r="D128" s="6"/>
      <c r="E128" s="11"/>
    </row>
    <row r="129" spans="1:5" s="31" customFormat="1" x14ac:dyDescent="0.25">
      <c r="A129" s="4"/>
      <c r="C129" s="6"/>
      <c r="D129" s="6"/>
      <c r="E129" s="11"/>
    </row>
    <row r="130" spans="1:5" s="31" customFormat="1" x14ac:dyDescent="0.25">
      <c r="A130" s="4"/>
      <c r="C130" s="6"/>
      <c r="D130" s="6"/>
      <c r="E130" s="11"/>
    </row>
    <row r="131" spans="1:5" s="31" customFormat="1" x14ac:dyDescent="0.25">
      <c r="A131" s="4"/>
      <c r="C131" s="6"/>
      <c r="D131" s="6"/>
      <c r="E131" s="11"/>
    </row>
    <row r="132" spans="1:5" s="31" customFormat="1" x14ac:dyDescent="0.25">
      <c r="A132" s="4"/>
      <c r="C132" s="6"/>
      <c r="D132" s="6"/>
      <c r="E132" s="11"/>
    </row>
    <row r="133" spans="1:5" s="31" customFormat="1" x14ac:dyDescent="0.25">
      <c r="A133" s="4"/>
      <c r="C133" s="6"/>
      <c r="D133" s="6"/>
      <c r="E133" s="11"/>
    </row>
    <row r="134" spans="1:5" s="31" customFormat="1" x14ac:dyDescent="0.25">
      <c r="A134" s="4"/>
      <c r="C134" s="6"/>
      <c r="D134" s="6"/>
      <c r="E134" s="11"/>
    </row>
    <row r="135" spans="1:5" s="31" customFormat="1" x14ac:dyDescent="0.25">
      <c r="A135" s="4"/>
      <c r="C135" s="6"/>
      <c r="D135" s="6"/>
      <c r="E135" s="11"/>
    </row>
    <row r="136" spans="1:5" s="31" customFormat="1" x14ac:dyDescent="0.25">
      <c r="A136" s="4"/>
      <c r="C136" s="6"/>
      <c r="D136" s="6"/>
      <c r="E136" s="11"/>
    </row>
    <row r="137" spans="1:5" s="31" customFormat="1" x14ac:dyDescent="0.25">
      <c r="A137" s="4"/>
      <c r="C137" s="6"/>
      <c r="D137" s="6"/>
      <c r="E137" s="11"/>
    </row>
    <row r="138" spans="1:5" s="31" customFormat="1" x14ac:dyDescent="0.25">
      <c r="A138" s="4"/>
      <c r="C138" s="6"/>
      <c r="D138" s="6"/>
      <c r="E138" s="11"/>
    </row>
    <row r="139" spans="1:5" s="31" customFormat="1" x14ac:dyDescent="0.25">
      <c r="A139" s="4"/>
      <c r="C139" s="6"/>
      <c r="D139" s="6"/>
      <c r="E139" s="11"/>
    </row>
    <row r="140" spans="1:5" s="31" customFormat="1" x14ac:dyDescent="0.25">
      <c r="A140" s="4"/>
      <c r="C140" s="6"/>
      <c r="D140" s="6"/>
      <c r="E140" s="11"/>
    </row>
    <row r="141" spans="1:5" s="31" customFormat="1" x14ac:dyDescent="0.25">
      <c r="A141" s="4"/>
      <c r="C141" s="6"/>
      <c r="D141" s="6"/>
      <c r="E141" s="11"/>
    </row>
    <row r="142" spans="1:5" s="31" customFormat="1" x14ac:dyDescent="0.25">
      <c r="A142" s="4"/>
      <c r="C142" s="6"/>
      <c r="D142" s="6"/>
      <c r="E142" s="11"/>
    </row>
  </sheetData>
  <mergeCells count="6">
    <mergeCell ref="B8:D8"/>
    <mergeCell ref="B2:D2"/>
    <mergeCell ref="B3:D3"/>
    <mergeCell ref="B4:D4"/>
    <mergeCell ref="B5:D5"/>
    <mergeCell ref="B6:D6"/>
  </mergeCells>
  <printOptions horizontalCentered="1"/>
  <pageMargins left="0.5" right="0.5" top="0.5" bottom="0.5" header="0.25" footer="0.25"/>
  <pageSetup orientation="landscape" r:id="rId1"/>
  <headerFooter scaleWithDoc="0">
    <oddFooter>&amp;C&amp;"Times New Roman,Regular"&amp;10&amp;A</oddFooter>
  </headerFooter>
  <customProperties>
    <customPr name="_pios_id" r:id="rId2"/>
  </customPropertie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H18"/>
  <sheetViews>
    <sheetView zoomScale="80" zoomScaleNormal="80" workbookViewId="0">
      <selection activeCell="J33" sqref="J33"/>
    </sheetView>
  </sheetViews>
  <sheetFormatPr defaultColWidth="8.7109375" defaultRowHeight="15.75" x14ac:dyDescent="0.25"/>
  <cols>
    <col min="1" max="1" width="5.28515625" style="4" customWidth="1"/>
    <col min="2" max="2" width="52.5703125" style="31" customWidth="1"/>
    <col min="3" max="3" width="21.28515625" style="31" customWidth="1"/>
    <col min="4" max="4" width="1.5703125" style="31" customWidth="1"/>
    <col min="5" max="5" width="16.7109375" style="31" customWidth="1"/>
    <col min="6" max="6" width="1.5703125" style="31" customWidth="1"/>
    <col min="7" max="7" width="34.5703125" style="31" customWidth="1"/>
    <col min="8" max="8" width="5.28515625" style="4" customWidth="1"/>
    <col min="9" max="16384" width="8.7109375" style="31"/>
  </cols>
  <sheetData>
    <row r="1" spans="1:8" x14ac:dyDescent="0.25">
      <c r="C1" s="4"/>
      <c r="D1" s="4"/>
    </row>
    <row r="2" spans="1:8" x14ac:dyDescent="0.25">
      <c r="B2" s="1316" t="s">
        <v>0</v>
      </c>
      <c r="C2" s="1324"/>
      <c r="D2" s="1324"/>
      <c r="E2" s="1324"/>
      <c r="F2" s="1324"/>
      <c r="G2" s="1324"/>
    </row>
    <row r="3" spans="1:8" x14ac:dyDescent="0.25">
      <c r="B3" s="1316" t="s">
        <v>866</v>
      </c>
      <c r="C3" s="1317"/>
      <c r="D3" s="1317"/>
      <c r="E3" s="1317"/>
      <c r="F3" s="1317"/>
      <c r="G3" s="1317"/>
    </row>
    <row r="4" spans="1:8" x14ac:dyDescent="0.25">
      <c r="B4" s="1316" t="s">
        <v>867</v>
      </c>
      <c r="C4" s="1317"/>
      <c r="D4" s="1317"/>
      <c r="E4" s="1317"/>
      <c r="F4" s="1317"/>
      <c r="G4" s="1317"/>
    </row>
    <row r="5" spans="1:8" x14ac:dyDescent="0.25">
      <c r="B5" s="1318" t="str">
        <f>'Stmt AD'!B5</f>
        <v>Base Period &amp; True-Up Period 12 - Months Ending December 31, 2025</v>
      </c>
      <c r="C5" s="1318"/>
      <c r="D5" s="1319"/>
      <c r="E5" s="1319"/>
      <c r="F5" s="1319"/>
      <c r="G5" s="1319"/>
    </row>
    <row r="6" spans="1:8" x14ac:dyDescent="0.25">
      <c r="B6" s="1312" t="s">
        <v>4</v>
      </c>
      <c r="C6" s="1317"/>
      <c r="D6" s="1317"/>
      <c r="E6" s="1317"/>
      <c r="F6" s="1317"/>
      <c r="G6" s="1317"/>
    </row>
    <row r="7" spans="1:8" x14ac:dyDescent="0.25">
      <c r="B7" s="4"/>
      <c r="C7" s="4"/>
      <c r="D7" s="4"/>
    </row>
    <row r="8" spans="1:8" x14ac:dyDescent="0.25">
      <c r="A8" s="4" t="s">
        <v>5</v>
      </c>
      <c r="B8" s="217"/>
      <c r="C8" s="4" t="s">
        <v>210</v>
      </c>
      <c r="D8" s="4"/>
      <c r="E8" s="4" t="s">
        <v>824</v>
      </c>
      <c r="F8" s="217"/>
      <c r="H8" s="4" t="s">
        <v>5</v>
      </c>
    </row>
    <row r="9" spans="1:8" x14ac:dyDescent="0.25">
      <c r="A9" s="4" t="s">
        <v>6</v>
      </c>
      <c r="B9" s="217"/>
      <c r="C9" s="848" t="s">
        <v>212</v>
      </c>
      <c r="D9" s="217"/>
      <c r="E9" s="849" t="s">
        <v>213</v>
      </c>
      <c r="F9" s="217"/>
      <c r="G9" s="848" t="s">
        <v>8</v>
      </c>
      <c r="H9" s="4" t="s">
        <v>6</v>
      </c>
    </row>
    <row r="10" spans="1:8" x14ac:dyDescent="0.25">
      <c r="C10" s="262"/>
      <c r="D10" s="262"/>
      <c r="E10" s="262"/>
      <c r="F10" s="262"/>
      <c r="G10" s="262"/>
    </row>
    <row r="11" spans="1:8" ht="19.5" thickBot="1" x14ac:dyDescent="0.3">
      <c r="A11" s="4">
        <v>1</v>
      </c>
      <c r="B11" s="31" t="s">
        <v>868</v>
      </c>
      <c r="C11" s="48"/>
      <c r="D11" s="41"/>
      <c r="E11" s="78">
        <f>'AM-1'!E31</f>
        <v>0</v>
      </c>
      <c r="F11" s="41"/>
      <c r="G11" s="46" t="s">
        <v>869</v>
      </c>
      <c r="H11" s="4">
        <f>A11</f>
        <v>1</v>
      </c>
    </row>
    <row r="12" spans="1:8" ht="16.5" thickTop="1" x14ac:dyDescent="0.25">
      <c r="C12" s="4"/>
      <c r="D12" s="4"/>
    </row>
    <row r="13" spans="1:8" x14ac:dyDescent="0.25">
      <c r="C13" s="4"/>
      <c r="D13" s="4"/>
    </row>
    <row r="14" spans="1:8" ht="18.75" x14ac:dyDescent="0.25">
      <c r="A14" s="265">
        <v>1</v>
      </c>
      <c r="B14" s="31" t="s">
        <v>870</v>
      </c>
      <c r="C14" s="4"/>
      <c r="D14" s="4"/>
    </row>
    <row r="15" spans="1:8" ht="18.75" x14ac:dyDescent="0.25">
      <c r="A15" s="265"/>
      <c r="B15" s="31" t="s">
        <v>871</v>
      </c>
      <c r="C15" s="4"/>
      <c r="D15" s="4"/>
    </row>
    <row r="16" spans="1:8" x14ac:dyDescent="0.25">
      <c r="C16" s="4"/>
      <c r="D16" s="4"/>
    </row>
    <row r="17" spans="3:4" x14ac:dyDescent="0.25">
      <c r="C17" s="4"/>
      <c r="D17" s="4"/>
    </row>
    <row r="18" spans="3:4" x14ac:dyDescent="0.25">
      <c r="C18" s="4"/>
      <c r="D18" s="4"/>
    </row>
  </sheetData>
  <mergeCells count="5">
    <mergeCell ref="B2:G2"/>
    <mergeCell ref="B3:G3"/>
    <mergeCell ref="B4:G4"/>
    <mergeCell ref="B5:G5"/>
    <mergeCell ref="B6:G6"/>
  </mergeCells>
  <printOptions horizontalCentered="1"/>
  <pageMargins left="0.5" right="0.5" top="0.5" bottom="0.5" header="0.25" footer="0.25"/>
  <pageSetup scale="69" orientation="portrait" r:id="rId1"/>
  <headerFooter scaleWithDoc="0">
    <oddFooter>&amp;C&amp;"Times New Roman,Regular"&amp;10&amp;A</oddFooter>
  </headerFooter>
  <customProperties>
    <customPr name="_pios_id" r:id="rId2"/>
  </customPropertie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2:H38"/>
  <sheetViews>
    <sheetView zoomScale="80" zoomScaleNormal="80" workbookViewId="0">
      <selection activeCell="C14" sqref="C14"/>
    </sheetView>
  </sheetViews>
  <sheetFormatPr defaultColWidth="9.28515625" defaultRowHeight="15.75" x14ac:dyDescent="0.25"/>
  <cols>
    <col min="1" max="1" width="5.28515625" style="217" customWidth="1"/>
    <col min="2" max="2" width="35.28515625" style="1" customWidth="1"/>
    <col min="3" max="3" width="18.5703125" style="86" customWidth="1"/>
    <col min="4" max="4" width="25.28515625" style="86" customWidth="1"/>
    <col min="5" max="5" width="18.5703125" style="1" customWidth="1"/>
    <col min="6" max="6" width="62.5703125" style="1" customWidth="1"/>
    <col min="7" max="7" width="5.28515625" style="217" customWidth="1"/>
    <col min="8" max="8" width="24" style="1" customWidth="1"/>
    <col min="9" max="9" width="11" style="1" customWidth="1"/>
    <col min="10" max="10" width="7.28515625" style="1" customWidth="1"/>
    <col min="11" max="11" width="9.28515625" style="1" customWidth="1"/>
    <col min="12" max="12" width="14" style="1" customWidth="1"/>
    <col min="13" max="13" width="13.42578125" style="1" customWidth="1"/>
    <col min="14" max="16384" width="9.28515625" style="1"/>
  </cols>
  <sheetData>
    <row r="2" spans="1:8" x14ac:dyDescent="0.25">
      <c r="B2" s="1316" t="s">
        <v>0</v>
      </c>
      <c r="C2" s="1316"/>
      <c r="D2" s="1316"/>
      <c r="E2" s="1316"/>
      <c r="F2" s="1316"/>
    </row>
    <row r="3" spans="1:8" x14ac:dyDescent="0.25">
      <c r="B3" s="1316" t="s">
        <v>872</v>
      </c>
      <c r="C3" s="1316"/>
      <c r="D3" s="1316"/>
      <c r="E3" s="1316"/>
      <c r="F3" s="1316"/>
    </row>
    <row r="4" spans="1:8" x14ac:dyDescent="0.25">
      <c r="B4" s="1316" t="s">
        <v>256</v>
      </c>
      <c r="C4" s="1316"/>
      <c r="D4" s="1316"/>
      <c r="E4" s="1316"/>
      <c r="F4" s="1316"/>
    </row>
    <row r="5" spans="1:8" x14ac:dyDescent="0.25">
      <c r="B5" s="1316" t="str">
        <f>'AD-1'!B5</f>
        <v>BASE PERIOD / TRUE UP PERIOD - 12/31/2025 PER BOOK</v>
      </c>
      <c r="C5" s="1316"/>
      <c r="D5" s="1316"/>
      <c r="E5" s="1316"/>
      <c r="F5" s="1316"/>
    </row>
    <row r="6" spans="1:8" x14ac:dyDescent="0.25">
      <c r="B6" s="1312" t="s">
        <v>4</v>
      </c>
      <c r="C6" s="1312"/>
      <c r="D6" s="1312"/>
      <c r="E6" s="1312"/>
      <c r="F6" s="1312"/>
    </row>
    <row r="7" spans="1:8" x14ac:dyDescent="0.25">
      <c r="B7" s="266"/>
      <c r="C7" s="267"/>
      <c r="D7" s="267"/>
      <c r="E7" s="266"/>
      <c r="F7" s="266"/>
    </row>
    <row r="8" spans="1:8" x14ac:dyDescent="0.25">
      <c r="B8" s="1316" t="s">
        <v>873</v>
      </c>
      <c r="C8" s="1316"/>
      <c r="D8" s="1316"/>
      <c r="E8" s="1316"/>
      <c r="F8" s="1316"/>
    </row>
    <row r="10" spans="1:8" x14ac:dyDescent="0.25">
      <c r="B10" s="924"/>
      <c r="C10" s="268" t="s">
        <v>392</v>
      </c>
      <c r="D10" s="925"/>
      <c r="E10" s="268" t="s">
        <v>335</v>
      </c>
      <c r="F10" s="925"/>
    </row>
    <row r="11" spans="1:8" x14ac:dyDescent="0.25">
      <c r="A11" s="4"/>
      <c r="B11" s="269"/>
      <c r="C11" s="273" t="s">
        <v>295</v>
      </c>
      <c r="D11" s="269"/>
      <c r="E11" s="273" t="s">
        <v>295</v>
      </c>
      <c r="F11" s="269"/>
      <c r="G11" s="4"/>
    </row>
    <row r="12" spans="1:8" x14ac:dyDescent="0.25">
      <c r="A12" s="4" t="s">
        <v>5</v>
      </c>
      <c r="B12" s="272"/>
      <c r="C12" s="217" t="s">
        <v>874</v>
      </c>
      <c r="D12" s="269"/>
      <c r="E12" s="270" t="s">
        <v>874</v>
      </c>
      <c r="F12" s="269"/>
      <c r="G12" s="4" t="s">
        <v>5</v>
      </c>
    </row>
    <row r="13" spans="1:8" x14ac:dyDescent="0.25">
      <c r="A13" s="4" t="s">
        <v>6</v>
      </c>
      <c r="B13" s="274" t="s">
        <v>260</v>
      </c>
      <c r="C13" s="927" t="s">
        <v>261</v>
      </c>
      <c r="D13" s="274" t="s">
        <v>8</v>
      </c>
      <c r="E13" s="275" t="s">
        <v>337</v>
      </c>
      <c r="F13" s="274" t="s">
        <v>8</v>
      </c>
      <c r="G13" s="4" t="s">
        <v>6</v>
      </c>
    </row>
    <row r="14" spans="1:8" x14ac:dyDescent="0.25">
      <c r="A14" s="4">
        <v>1</v>
      </c>
      <c r="B14" s="928" t="str">
        <f>'AL-2'!B13</f>
        <v>Dec-24</v>
      </c>
      <c r="C14" s="58">
        <v>0</v>
      </c>
      <c r="D14" s="933" t="s">
        <v>263</v>
      </c>
      <c r="E14" s="58">
        <v>0</v>
      </c>
      <c r="F14" s="934" t="s">
        <v>263</v>
      </c>
      <c r="G14" s="4">
        <f>A14</f>
        <v>1</v>
      </c>
      <c r="H14" s="280"/>
    </row>
    <row r="15" spans="1:8" x14ac:dyDescent="0.25">
      <c r="A15" s="4">
        <f>A14+1</f>
        <v>2</v>
      </c>
      <c r="B15" s="928" t="str">
        <f>'AL-2'!B14</f>
        <v>Jan-25</v>
      </c>
      <c r="C15" s="52">
        <v>0</v>
      </c>
      <c r="D15" s="935"/>
      <c r="E15" s="65">
        <v>0</v>
      </c>
      <c r="F15" s="934"/>
      <c r="G15" s="4">
        <f>G14+1</f>
        <v>2</v>
      </c>
      <c r="H15" s="280"/>
    </row>
    <row r="16" spans="1:8" x14ac:dyDescent="0.25">
      <c r="A16" s="4">
        <f t="shared" ref="A16:A32" si="0">A15+1</f>
        <v>3</v>
      </c>
      <c r="B16" s="931" t="s">
        <v>265</v>
      </c>
      <c r="C16" s="52">
        <v>0</v>
      </c>
      <c r="D16" s="935"/>
      <c r="E16" s="65">
        <v>0</v>
      </c>
      <c r="F16" s="934"/>
      <c r="G16" s="4">
        <f t="shared" ref="G16:G32" si="1">G15+1</f>
        <v>3</v>
      </c>
      <c r="H16" s="280"/>
    </row>
    <row r="17" spans="1:8" x14ac:dyDescent="0.25">
      <c r="A17" s="4">
        <f t="shared" si="0"/>
        <v>4</v>
      </c>
      <c r="B17" s="931" t="s">
        <v>266</v>
      </c>
      <c r="C17" s="52">
        <v>0</v>
      </c>
      <c r="D17" s="935"/>
      <c r="E17" s="65">
        <v>0</v>
      </c>
      <c r="F17" s="934"/>
      <c r="G17" s="4">
        <f t="shared" si="1"/>
        <v>4</v>
      </c>
      <c r="H17" s="280"/>
    </row>
    <row r="18" spans="1:8" x14ac:dyDescent="0.25">
      <c r="A18" s="4">
        <f t="shared" si="0"/>
        <v>5</v>
      </c>
      <c r="B18" s="931" t="s">
        <v>267</v>
      </c>
      <c r="C18" s="52">
        <v>0</v>
      </c>
      <c r="D18" s="935"/>
      <c r="E18" s="65">
        <v>0</v>
      </c>
      <c r="F18" s="934"/>
      <c r="G18" s="4">
        <f t="shared" si="1"/>
        <v>5</v>
      </c>
      <c r="H18" s="280"/>
    </row>
    <row r="19" spans="1:8" x14ac:dyDescent="0.25">
      <c r="A19" s="4">
        <f t="shared" si="0"/>
        <v>6</v>
      </c>
      <c r="B19" s="931" t="s">
        <v>268</v>
      </c>
      <c r="C19" s="52">
        <v>0</v>
      </c>
      <c r="D19" s="935"/>
      <c r="E19" s="65">
        <v>0</v>
      </c>
      <c r="F19" s="934"/>
      <c r="G19" s="4">
        <f t="shared" si="1"/>
        <v>6</v>
      </c>
      <c r="H19" s="280"/>
    </row>
    <row r="20" spans="1:8" x14ac:dyDescent="0.25">
      <c r="A20" s="4">
        <f t="shared" si="0"/>
        <v>7</v>
      </c>
      <c r="B20" s="931" t="s">
        <v>269</v>
      </c>
      <c r="C20" s="52">
        <v>0</v>
      </c>
      <c r="D20" s="935"/>
      <c r="E20" s="65">
        <v>0</v>
      </c>
      <c r="F20" s="934"/>
      <c r="G20" s="4">
        <f t="shared" si="1"/>
        <v>7</v>
      </c>
      <c r="H20" s="280"/>
    </row>
    <row r="21" spans="1:8" x14ac:dyDescent="0.25">
      <c r="A21" s="4">
        <f t="shared" si="0"/>
        <v>8</v>
      </c>
      <c r="B21" s="931" t="s">
        <v>270</v>
      </c>
      <c r="C21" s="52">
        <v>0</v>
      </c>
      <c r="D21" s="935"/>
      <c r="E21" s="65">
        <v>0</v>
      </c>
      <c r="F21" s="934"/>
      <c r="G21" s="4">
        <f t="shared" si="1"/>
        <v>8</v>
      </c>
      <c r="H21" s="280"/>
    </row>
    <row r="22" spans="1:8" x14ac:dyDescent="0.25">
      <c r="A22" s="4">
        <f t="shared" si="0"/>
        <v>9</v>
      </c>
      <c r="B22" s="931" t="s">
        <v>271</v>
      </c>
      <c r="C22" s="52">
        <v>0</v>
      </c>
      <c r="D22" s="935"/>
      <c r="E22" s="65">
        <v>0</v>
      </c>
      <c r="F22" s="934"/>
      <c r="G22" s="4">
        <f t="shared" si="1"/>
        <v>9</v>
      </c>
      <c r="H22" s="280"/>
    </row>
    <row r="23" spans="1:8" x14ac:dyDescent="0.25">
      <c r="A23" s="4">
        <f t="shared" si="0"/>
        <v>10</v>
      </c>
      <c r="B23" s="931" t="s">
        <v>272</v>
      </c>
      <c r="C23" s="52">
        <v>0</v>
      </c>
      <c r="D23" s="935"/>
      <c r="E23" s="65">
        <v>0</v>
      </c>
      <c r="F23" s="934"/>
      <c r="G23" s="4">
        <f t="shared" si="1"/>
        <v>10</v>
      </c>
      <c r="H23" s="280"/>
    </row>
    <row r="24" spans="1:8" x14ac:dyDescent="0.25">
      <c r="A24" s="4">
        <f t="shared" si="0"/>
        <v>11</v>
      </c>
      <c r="B24" s="931" t="s">
        <v>273</v>
      </c>
      <c r="C24" s="52">
        <v>0</v>
      </c>
      <c r="D24" s="935"/>
      <c r="E24" s="65">
        <v>0</v>
      </c>
      <c r="F24" s="934"/>
      <c r="G24" s="4">
        <f t="shared" si="1"/>
        <v>11</v>
      </c>
      <c r="H24" s="280"/>
    </row>
    <row r="25" spans="1:8" x14ac:dyDescent="0.25">
      <c r="A25" s="4">
        <f t="shared" si="0"/>
        <v>12</v>
      </c>
      <c r="B25" s="931" t="s">
        <v>274</v>
      </c>
      <c r="C25" s="52">
        <v>0</v>
      </c>
      <c r="D25" s="935"/>
      <c r="E25" s="65">
        <v>0</v>
      </c>
      <c r="F25" s="934"/>
      <c r="G25" s="4">
        <f t="shared" si="1"/>
        <v>12</v>
      </c>
      <c r="H25" s="281"/>
    </row>
    <row r="26" spans="1:8" x14ac:dyDescent="0.25">
      <c r="A26" s="4">
        <f t="shared" si="0"/>
        <v>13</v>
      </c>
      <c r="B26" s="629" t="str">
        <f>'AL-2'!B25</f>
        <v>Dec-25</v>
      </c>
      <c r="C26" s="53">
        <v>0</v>
      </c>
      <c r="D26" s="68" t="s">
        <v>263</v>
      </c>
      <c r="E26" s="53">
        <v>0</v>
      </c>
      <c r="F26" s="589" t="s">
        <v>263</v>
      </c>
      <c r="G26" s="4">
        <f t="shared" si="1"/>
        <v>13</v>
      </c>
      <c r="H26" s="281"/>
    </row>
    <row r="27" spans="1:8" x14ac:dyDescent="0.25">
      <c r="A27" s="4">
        <f t="shared" si="0"/>
        <v>14</v>
      </c>
      <c r="B27" s="453"/>
      <c r="C27" s="60"/>
      <c r="D27" s="303"/>
      <c r="E27" s="60"/>
      <c r="F27" s="1048"/>
      <c r="G27" s="4">
        <f t="shared" si="1"/>
        <v>14</v>
      </c>
      <c r="H27" s="31"/>
    </row>
    <row r="28" spans="1:8" x14ac:dyDescent="0.25">
      <c r="A28" s="4">
        <f t="shared" si="0"/>
        <v>15</v>
      </c>
      <c r="B28" s="277" t="s">
        <v>276</v>
      </c>
      <c r="C28" s="55">
        <f>SUM(C14:C26)</f>
        <v>0</v>
      </c>
      <c r="D28" s="933" t="s">
        <v>277</v>
      </c>
      <c r="E28" s="55">
        <f>SUM(E14:E26)</f>
        <v>0</v>
      </c>
      <c r="F28" s="934" t="s">
        <v>277</v>
      </c>
      <c r="G28" s="4">
        <f t="shared" si="1"/>
        <v>15</v>
      </c>
      <c r="H28" s="281"/>
    </row>
    <row r="29" spans="1:8" x14ac:dyDescent="0.25">
      <c r="A29" s="4">
        <f t="shared" si="0"/>
        <v>16</v>
      </c>
      <c r="B29" s="116"/>
      <c r="C29" s="61"/>
      <c r="D29" s="93"/>
      <c r="E29" s="61"/>
      <c r="F29" s="309"/>
      <c r="G29" s="4">
        <f t="shared" si="1"/>
        <v>16</v>
      </c>
      <c r="H29" s="281"/>
    </row>
    <row r="30" spans="1:8" x14ac:dyDescent="0.25">
      <c r="A30" s="4">
        <f t="shared" si="0"/>
        <v>17</v>
      </c>
      <c r="B30" s="277"/>
      <c r="C30" s="60"/>
      <c r="D30" s="232"/>
      <c r="E30" s="60"/>
      <c r="F30" s="959"/>
      <c r="G30" s="4">
        <f t="shared" si="1"/>
        <v>17</v>
      </c>
      <c r="H30" s="280"/>
    </row>
    <row r="31" spans="1:8" x14ac:dyDescent="0.25">
      <c r="A31" s="4">
        <f t="shared" si="0"/>
        <v>18</v>
      </c>
      <c r="B31" s="277" t="s">
        <v>278</v>
      </c>
      <c r="C31" s="55">
        <f>C28/13</f>
        <v>0</v>
      </c>
      <c r="D31" s="933" t="s">
        <v>279</v>
      </c>
      <c r="E31" s="55">
        <f>E28/13</f>
        <v>0</v>
      </c>
      <c r="F31" s="934" t="s">
        <v>279</v>
      </c>
      <c r="G31" s="4">
        <f t="shared" si="1"/>
        <v>18</v>
      </c>
      <c r="H31" s="280"/>
    </row>
    <row r="32" spans="1:8" x14ac:dyDescent="0.25">
      <c r="A32" s="4">
        <f t="shared" si="0"/>
        <v>19</v>
      </c>
      <c r="B32" s="116"/>
      <c r="C32" s="61"/>
      <c r="D32" s="92"/>
      <c r="E32" s="61"/>
      <c r="F32" s="282"/>
      <c r="G32" s="4">
        <f t="shared" si="1"/>
        <v>19</v>
      </c>
      <c r="H32" s="280"/>
    </row>
    <row r="33" spans="2:8" x14ac:dyDescent="0.25">
      <c r="B33" s="31"/>
      <c r="C33" s="6"/>
      <c r="D33" s="6"/>
      <c r="E33" s="6"/>
      <c r="F33" s="281"/>
      <c r="G33" s="579"/>
      <c r="H33" s="280"/>
    </row>
    <row r="34" spans="2:8" x14ac:dyDescent="0.25">
      <c r="B34" s="292"/>
      <c r="C34" s="281"/>
      <c r="D34" s="281"/>
      <c r="E34" s="281"/>
      <c r="F34" s="281"/>
      <c r="G34" s="579"/>
      <c r="H34" s="280"/>
    </row>
    <row r="35" spans="2:8" x14ac:dyDescent="0.25">
      <c r="B35" s="31"/>
      <c r="C35" s="281"/>
      <c r="D35" s="281"/>
      <c r="E35" s="281"/>
      <c r="F35" s="281"/>
      <c r="G35" s="579"/>
      <c r="H35" s="280"/>
    </row>
    <row r="36" spans="2:8" x14ac:dyDescent="0.25">
      <c r="B36" s="31"/>
      <c r="C36" s="281"/>
      <c r="D36" s="281"/>
      <c r="E36" s="281"/>
      <c r="F36" s="281"/>
      <c r="G36" s="579"/>
      <c r="H36" s="280"/>
    </row>
    <row r="37" spans="2:8" x14ac:dyDescent="0.25">
      <c r="B37" s="31"/>
      <c r="C37" s="281"/>
      <c r="D37" s="281"/>
      <c r="E37" s="281"/>
      <c r="F37" s="281"/>
      <c r="G37" s="579"/>
      <c r="H37" s="280"/>
    </row>
    <row r="38" spans="2:8" x14ac:dyDescent="0.25">
      <c r="C38" s="280"/>
      <c r="D38" s="280"/>
      <c r="E38" s="280"/>
      <c r="F38" s="280"/>
      <c r="G38" s="579"/>
      <c r="H38" s="280"/>
    </row>
  </sheetData>
  <mergeCells count="6">
    <mergeCell ref="B8:F8"/>
    <mergeCell ref="B2:F2"/>
    <mergeCell ref="B3:F3"/>
    <mergeCell ref="B4:F4"/>
    <mergeCell ref="B5:F5"/>
    <mergeCell ref="B6:F6"/>
  </mergeCells>
  <printOptions horizontalCentered="1"/>
  <pageMargins left="0.5" right="0.5" top="0.5" bottom="0.5" header="0.25" footer="0.25"/>
  <pageSetup scale="75" orientation="landscape" r:id="rId1"/>
  <headerFooter scaleWithDoc="0">
    <oddFooter>&amp;C&amp;"Times New Roman,Regular"&amp;10&amp;A</oddFooter>
  </headerFooter>
  <customProperties>
    <customPr name="_pios_id" r:id="rId2"/>
  </customPropertie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H18"/>
  <sheetViews>
    <sheetView zoomScale="80" zoomScaleNormal="80" workbookViewId="0">
      <selection activeCell="G15" sqref="G15"/>
    </sheetView>
  </sheetViews>
  <sheetFormatPr defaultColWidth="8.7109375" defaultRowHeight="15.75" x14ac:dyDescent="0.25"/>
  <cols>
    <col min="1" max="1" width="5.28515625" style="31" customWidth="1"/>
    <col min="2" max="2" width="55.28515625" style="31" customWidth="1"/>
    <col min="3" max="3" width="24" style="31" customWidth="1"/>
    <col min="4" max="4" width="1.5703125" style="31" customWidth="1"/>
    <col min="5" max="5" width="16.7109375" style="31" customWidth="1"/>
    <col min="6" max="6" width="1.5703125" style="31" customWidth="1"/>
    <col min="7" max="7" width="34.5703125" style="31" customWidth="1"/>
    <col min="8" max="8" width="5.28515625" style="31" customWidth="1"/>
    <col min="9" max="16384" width="8.7109375" style="31"/>
  </cols>
  <sheetData>
    <row r="1" spans="1:8" x14ac:dyDescent="0.25">
      <c r="A1" s="4"/>
      <c r="E1" s="70"/>
      <c r="F1" s="70"/>
      <c r="G1" s="4"/>
      <c r="H1" s="4"/>
    </row>
    <row r="2" spans="1:8" x14ac:dyDescent="0.25">
      <c r="A2" s="4"/>
      <c r="B2" s="1316" t="s">
        <v>0</v>
      </c>
      <c r="C2" s="1316"/>
      <c r="D2" s="1316"/>
      <c r="E2" s="1316"/>
      <c r="F2" s="1316"/>
      <c r="G2" s="1316"/>
      <c r="H2" s="4"/>
    </row>
    <row r="3" spans="1:8" x14ac:dyDescent="0.25">
      <c r="A3" s="4"/>
      <c r="B3" s="1316" t="s">
        <v>875</v>
      </c>
      <c r="C3" s="1316"/>
      <c r="D3" s="1316"/>
      <c r="E3" s="1316"/>
      <c r="F3" s="1316"/>
      <c r="G3" s="1316"/>
      <c r="H3" s="4"/>
    </row>
    <row r="4" spans="1:8" x14ac:dyDescent="0.25">
      <c r="A4" s="4"/>
      <c r="B4" s="1316" t="s">
        <v>876</v>
      </c>
      <c r="C4" s="1316"/>
      <c r="D4" s="1316"/>
      <c r="E4" s="1316"/>
      <c r="F4" s="1316"/>
      <c r="G4" s="1316"/>
      <c r="H4" s="4"/>
    </row>
    <row r="5" spans="1:8" x14ac:dyDescent="0.25">
      <c r="A5" s="4"/>
      <c r="B5" s="1318" t="str">
        <f>'Stmt AD'!B5</f>
        <v>Base Period &amp; True-Up Period 12 - Months Ending December 31, 2025</v>
      </c>
      <c r="C5" s="1318"/>
      <c r="D5" s="1318"/>
      <c r="E5" s="1318"/>
      <c r="F5" s="1318"/>
      <c r="G5" s="1318"/>
      <c r="H5" s="4"/>
    </row>
    <row r="6" spans="1:8" x14ac:dyDescent="0.25">
      <c r="A6" s="4"/>
      <c r="B6" s="1312" t="s">
        <v>4</v>
      </c>
      <c r="C6" s="1313"/>
      <c r="D6" s="1313"/>
      <c r="E6" s="1313"/>
      <c r="F6" s="1313"/>
      <c r="G6" s="1313"/>
      <c r="H6" s="4"/>
    </row>
    <row r="7" spans="1:8" x14ac:dyDescent="0.25">
      <c r="A7" s="4"/>
      <c r="B7" s="4"/>
      <c r="C7" s="4"/>
      <c r="D7" s="4"/>
      <c r="E7" s="4"/>
      <c r="F7" s="4"/>
      <c r="G7" s="4"/>
      <c r="H7" s="4"/>
    </row>
    <row r="8" spans="1:8" x14ac:dyDescent="0.25">
      <c r="A8" s="4" t="s">
        <v>5</v>
      </c>
      <c r="B8" s="4"/>
      <c r="C8" s="4" t="s">
        <v>210</v>
      </c>
      <c r="D8" s="4"/>
      <c r="E8" s="4"/>
      <c r="F8" s="4"/>
      <c r="G8" s="4"/>
      <c r="H8" s="4" t="s">
        <v>5</v>
      </c>
    </row>
    <row r="9" spans="1:8" x14ac:dyDescent="0.25">
      <c r="A9" s="4" t="s">
        <v>6</v>
      </c>
      <c r="C9" s="848" t="s">
        <v>212</v>
      </c>
      <c r="E9" s="848" t="s">
        <v>7</v>
      </c>
      <c r="F9" s="70"/>
      <c r="G9" s="848" t="s">
        <v>8</v>
      </c>
      <c r="H9" s="4" t="s">
        <v>6</v>
      </c>
    </row>
    <row r="10" spans="1:8" x14ac:dyDescent="0.25">
      <c r="A10" s="4"/>
      <c r="E10" s="70"/>
      <c r="F10" s="70"/>
      <c r="G10" s="4"/>
      <c r="H10" s="4"/>
    </row>
    <row r="11" spans="1:8" x14ac:dyDescent="0.25">
      <c r="A11" s="4">
        <f>+A10+1</f>
        <v>1</v>
      </c>
      <c r="B11" s="31" t="s">
        <v>877</v>
      </c>
      <c r="C11" s="4" t="s">
        <v>878</v>
      </c>
      <c r="E11" s="678">
        <v>1304.0991895338727</v>
      </c>
      <c r="F11" s="70"/>
      <c r="G11" s="412"/>
      <c r="H11" s="4">
        <f>A11</f>
        <v>1</v>
      </c>
    </row>
    <row r="12" spans="1:8" x14ac:dyDescent="0.25">
      <c r="A12" s="4">
        <f>+A11+1</f>
        <v>2</v>
      </c>
      <c r="E12" s="70"/>
      <c r="F12" s="70"/>
      <c r="G12" s="4"/>
      <c r="H12" s="4">
        <f>+H11+1</f>
        <v>2</v>
      </c>
    </row>
    <row r="13" spans="1:8" ht="16.5" thickBot="1" x14ac:dyDescent="0.3">
      <c r="A13" s="4">
        <f>+A12+1</f>
        <v>3</v>
      </c>
      <c r="B13" s="31" t="s">
        <v>879</v>
      </c>
      <c r="E13" s="37">
        <f>E11</f>
        <v>1304.0991895338727</v>
      </c>
      <c r="F13" s="35"/>
      <c r="G13" s="4" t="s">
        <v>880</v>
      </c>
      <c r="H13" s="4">
        <f>+H12+1</f>
        <v>3</v>
      </c>
    </row>
    <row r="14" spans="1:8" ht="16.5" thickTop="1" x14ac:dyDescent="0.25"/>
    <row r="18" spans="2:2" x14ac:dyDescent="0.25">
      <c r="B18" s="36"/>
    </row>
  </sheetData>
  <mergeCells count="5">
    <mergeCell ref="B2:G2"/>
    <mergeCell ref="B3:G3"/>
    <mergeCell ref="B4:G4"/>
    <mergeCell ref="B5:G5"/>
    <mergeCell ref="B6:G6"/>
  </mergeCells>
  <printOptions horizontalCentered="1"/>
  <pageMargins left="0.5" right="0.5" top="0.5" bottom="0.5" header="0.25" footer="0.25"/>
  <pageSetup scale="66" orientation="portrait" r:id="rId1"/>
  <headerFooter scaleWithDoc="0">
    <oddFooter>&amp;C&amp;"Times New Roman,Regular"&amp;10&amp;A</oddFooter>
  </headerFooter>
  <customProperties>
    <customPr name="_pios_id" r:id="rId2"/>
  </customPropertie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H25"/>
  <sheetViews>
    <sheetView zoomScale="80" zoomScaleNormal="80" workbookViewId="0">
      <selection activeCell="L24" sqref="L24"/>
    </sheetView>
  </sheetViews>
  <sheetFormatPr defaultColWidth="8.7109375" defaultRowHeight="15.75" x14ac:dyDescent="0.25"/>
  <cols>
    <col min="1" max="1" width="5.28515625" style="4" bestFit="1" customWidth="1"/>
    <col min="2" max="2" width="68.7109375" style="31" customWidth="1"/>
    <col min="3" max="3" width="25.42578125" style="31" bestFit="1" customWidth="1"/>
    <col min="4" max="4" width="1.5703125" style="31" customWidth="1"/>
    <col min="5" max="5" width="16.7109375" style="31" customWidth="1"/>
    <col min="6" max="6" width="1.5703125" style="31" customWidth="1"/>
    <col min="7" max="7" width="34.5703125" style="31" customWidth="1"/>
    <col min="8" max="8" width="5.28515625" style="31" customWidth="1"/>
    <col min="9" max="9" width="8.7109375" style="31"/>
    <col min="10" max="10" width="20.42578125" style="31" bestFit="1" customWidth="1"/>
    <col min="11" max="16384" width="8.7109375" style="31"/>
  </cols>
  <sheetData>
    <row r="1" spans="1:8" x14ac:dyDescent="0.25">
      <c r="E1" s="70"/>
      <c r="F1" s="70"/>
      <c r="G1" s="4"/>
      <c r="H1" s="4"/>
    </row>
    <row r="2" spans="1:8" x14ac:dyDescent="0.25">
      <c r="B2" s="1316" t="s">
        <v>0</v>
      </c>
      <c r="C2" s="1316"/>
      <c r="D2" s="1316"/>
      <c r="E2" s="1316"/>
      <c r="F2" s="1316"/>
      <c r="G2" s="1316"/>
      <c r="H2" s="4"/>
    </row>
    <row r="3" spans="1:8" x14ac:dyDescent="0.25">
      <c r="B3" s="1316" t="s">
        <v>881</v>
      </c>
      <c r="C3" s="1316"/>
      <c r="D3" s="1316"/>
      <c r="E3" s="1316"/>
      <c r="F3" s="1316"/>
      <c r="G3" s="1316"/>
      <c r="H3" s="4"/>
    </row>
    <row r="4" spans="1:8" x14ac:dyDescent="0.25">
      <c r="B4" s="1316" t="s">
        <v>882</v>
      </c>
      <c r="C4" s="1316"/>
      <c r="D4" s="1316"/>
      <c r="E4" s="1316"/>
      <c r="F4" s="1316"/>
      <c r="G4" s="1316"/>
      <c r="H4" s="4"/>
    </row>
    <row r="5" spans="1:8" x14ac:dyDescent="0.25">
      <c r="B5" s="1318" t="str">
        <f>'Stmt AD'!B5</f>
        <v>Base Period &amp; True-Up Period 12 - Months Ending December 31, 2025</v>
      </c>
      <c r="C5" s="1318"/>
      <c r="D5" s="1318"/>
      <c r="E5" s="1318"/>
      <c r="F5" s="1318"/>
      <c r="G5" s="1318"/>
      <c r="H5" s="4"/>
    </row>
    <row r="6" spans="1:8" x14ac:dyDescent="0.25">
      <c r="B6" s="1312" t="s">
        <v>4</v>
      </c>
      <c r="C6" s="1313"/>
      <c r="D6" s="1313"/>
      <c r="E6" s="1313"/>
      <c r="F6" s="1313"/>
      <c r="G6" s="1313"/>
      <c r="H6" s="4"/>
    </row>
    <row r="7" spans="1:8" x14ac:dyDescent="0.25">
      <c r="B7" s="4"/>
      <c r="C7" s="4"/>
      <c r="D7" s="4"/>
      <c r="E7" s="4"/>
      <c r="F7" s="4"/>
      <c r="G7" s="4"/>
      <c r="H7" s="4"/>
    </row>
    <row r="8" spans="1:8" x14ac:dyDescent="0.25">
      <c r="A8" s="4" t="s">
        <v>5</v>
      </c>
      <c r="C8" s="4" t="s">
        <v>210</v>
      </c>
      <c r="E8" s="4"/>
      <c r="F8" s="4"/>
      <c r="G8" s="4"/>
      <c r="H8" s="4" t="s">
        <v>5</v>
      </c>
    </row>
    <row r="9" spans="1:8" x14ac:dyDescent="0.25">
      <c r="A9" s="4" t="s">
        <v>6</v>
      </c>
      <c r="B9" s="31" t="s">
        <v>1</v>
      </c>
      <c r="C9" s="848" t="s">
        <v>212</v>
      </c>
      <c r="E9" s="848" t="s">
        <v>7</v>
      </c>
      <c r="F9" s="622"/>
      <c r="G9" s="848" t="s">
        <v>8</v>
      </c>
      <c r="H9" s="4" t="s">
        <v>6</v>
      </c>
    </row>
    <row r="10" spans="1:8" x14ac:dyDescent="0.25">
      <c r="E10" s="70"/>
      <c r="F10" s="70"/>
      <c r="G10" s="4"/>
      <c r="H10" s="4"/>
    </row>
    <row r="11" spans="1:8" ht="18.75" x14ac:dyDescent="0.25">
      <c r="A11" s="4">
        <f>+A10+1</f>
        <v>1</v>
      </c>
      <c r="B11" s="31" t="s">
        <v>883</v>
      </c>
      <c r="C11" s="4" t="s">
        <v>884</v>
      </c>
      <c r="E11" s="82">
        <v>-264.76299999999998</v>
      </c>
      <c r="F11" s="622"/>
      <c r="G11" s="622"/>
      <c r="H11" s="4">
        <f>A11</f>
        <v>1</v>
      </c>
    </row>
    <row r="12" spans="1:8" x14ac:dyDescent="0.25">
      <c r="A12" s="4">
        <f>+A11+1</f>
        <v>2</v>
      </c>
      <c r="E12" s="70"/>
      <c r="F12" s="70"/>
      <c r="G12" s="622"/>
      <c r="H12" s="4">
        <f>+H11+1</f>
        <v>2</v>
      </c>
    </row>
    <row r="13" spans="1:8" x14ac:dyDescent="0.25">
      <c r="A13" s="4">
        <f>+A12+1</f>
        <v>3</v>
      </c>
      <c r="B13" s="31" t="s">
        <v>885</v>
      </c>
      <c r="E13" s="70"/>
      <c r="F13" s="622"/>
      <c r="G13" s="622"/>
      <c r="H13" s="4">
        <f>+H12+1</f>
        <v>3</v>
      </c>
    </row>
    <row r="14" spans="1:8" x14ac:dyDescent="0.25">
      <c r="A14" s="4">
        <f t="shared" ref="A14:A19" si="0">+A13+1</f>
        <v>4</v>
      </c>
      <c r="B14" s="32" t="s">
        <v>886</v>
      </c>
      <c r="C14" s="4"/>
      <c r="E14" s="42">
        <f>'AR-1'!G18</f>
        <v>1651.7724784927279</v>
      </c>
      <c r="F14" s="622"/>
      <c r="G14" s="4" t="s">
        <v>887</v>
      </c>
      <c r="H14" s="4">
        <f t="shared" ref="H14:H19" si="1">+H13+1</f>
        <v>4</v>
      </c>
    </row>
    <row r="15" spans="1:8" x14ac:dyDescent="0.25">
      <c r="A15" s="4">
        <f t="shared" si="0"/>
        <v>5</v>
      </c>
      <c r="B15" s="32" t="s">
        <v>888</v>
      </c>
      <c r="C15" s="4"/>
      <c r="E15" s="42">
        <f>'AR-1'!G25</f>
        <v>-5541.501743061187</v>
      </c>
      <c r="F15" s="622"/>
      <c r="G15" s="4" t="s">
        <v>889</v>
      </c>
      <c r="H15" s="4">
        <f t="shared" si="1"/>
        <v>5</v>
      </c>
    </row>
    <row r="16" spans="1:8" x14ac:dyDescent="0.25">
      <c r="A16" s="4">
        <f t="shared" si="0"/>
        <v>6</v>
      </c>
      <c r="B16" s="32" t="s">
        <v>890</v>
      </c>
      <c r="C16" s="4"/>
      <c r="E16" s="905">
        <f>'AR-1'!G33</f>
        <v>0</v>
      </c>
      <c r="F16" s="622"/>
      <c r="G16" s="4" t="s">
        <v>891</v>
      </c>
      <c r="H16" s="4">
        <f t="shared" si="1"/>
        <v>6</v>
      </c>
    </row>
    <row r="17" spans="1:8" x14ac:dyDescent="0.25">
      <c r="A17" s="4">
        <f t="shared" si="0"/>
        <v>7</v>
      </c>
      <c r="B17" s="32" t="s">
        <v>892</v>
      </c>
      <c r="C17" s="4"/>
      <c r="E17" s="1049">
        <f>SUM(E14:E16)</f>
        <v>-3889.7292645684593</v>
      </c>
      <c r="F17" s="622"/>
      <c r="G17" s="4" t="s">
        <v>893</v>
      </c>
      <c r="H17" s="4">
        <f t="shared" si="1"/>
        <v>7</v>
      </c>
    </row>
    <row r="18" spans="1:8" x14ac:dyDescent="0.25">
      <c r="A18" s="4">
        <f t="shared" si="0"/>
        <v>8</v>
      </c>
      <c r="E18" s="6"/>
      <c r="F18" s="6"/>
      <c r="G18" s="44"/>
      <c r="H18" s="4">
        <f t="shared" si="1"/>
        <v>8</v>
      </c>
    </row>
    <row r="19" spans="1:8" ht="16.5" thickBot="1" x14ac:dyDescent="0.3">
      <c r="A19" s="4">
        <f t="shared" si="0"/>
        <v>9</v>
      </c>
      <c r="B19" s="31" t="s">
        <v>894</v>
      </c>
      <c r="E19" s="37">
        <f>E11+E17</f>
        <v>-4154.4922645684592</v>
      </c>
      <c r="F19" s="35"/>
      <c r="G19" s="4" t="s">
        <v>895</v>
      </c>
      <c r="H19" s="4">
        <f t="shared" si="1"/>
        <v>9</v>
      </c>
    </row>
    <row r="20" spans="1:8" ht="16.5" thickTop="1" x14ac:dyDescent="0.25">
      <c r="E20" s="35"/>
      <c r="F20" s="35"/>
      <c r="G20" s="4"/>
      <c r="H20" s="4"/>
    </row>
    <row r="21" spans="1:8" x14ac:dyDescent="0.25">
      <c r="H21" s="4"/>
    </row>
    <row r="22" spans="1:8" ht="18.75" x14ac:dyDescent="0.25">
      <c r="A22" s="252">
        <v>1</v>
      </c>
      <c r="B22" s="31" t="s">
        <v>896</v>
      </c>
      <c r="H22" s="4"/>
    </row>
    <row r="23" spans="1:8" ht="18.75" x14ac:dyDescent="0.25">
      <c r="A23" s="265"/>
      <c r="B23" s="32"/>
      <c r="H23" s="4"/>
    </row>
    <row r="24" spans="1:8" x14ac:dyDescent="0.25">
      <c r="B24" s="32"/>
      <c r="H24" s="4"/>
    </row>
    <row r="25" spans="1:8" x14ac:dyDescent="0.25">
      <c r="B25" s="725"/>
    </row>
  </sheetData>
  <mergeCells count="5">
    <mergeCell ref="B2:G2"/>
    <mergeCell ref="B3:G3"/>
    <mergeCell ref="B4:G4"/>
    <mergeCell ref="B5:G5"/>
    <mergeCell ref="B6:G6"/>
  </mergeCells>
  <printOptions horizontalCentered="1"/>
  <pageMargins left="0.5" right="0.5" top="0.5" bottom="0.5" header="0.25" footer="0.25"/>
  <pageSetup scale="60" orientation="portrait" r:id="rId1"/>
  <headerFooter scaleWithDoc="0">
    <oddFooter>&amp;C&amp;"Times New Roman,Regular"&amp;10&amp;A</oddFooter>
  </headerFooter>
  <customProperties>
    <customPr name="_pios_id" r:id="rId2"/>
  </customPropertie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2D1C5-253E-4292-AC19-76ECF2CF8CF8}">
  <sheetPr>
    <pageSetUpPr fitToPage="1"/>
  </sheetPr>
  <dimension ref="A2:K42"/>
  <sheetViews>
    <sheetView zoomScale="80" zoomScaleNormal="80" workbookViewId="0">
      <selection activeCell="M32" sqref="M32"/>
    </sheetView>
  </sheetViews>
  <sheetFormatPr defaultColWidth="8.5703125" defaultRowHeight="15.75" x14ac:dyDescent="0.25"/>
  <cols>
    <col min="1" max="1" width="5.42578125" style="4" customWidth="1"/>
    <col min="2" max="2" width="50.7109375" style="31" customWidth="1"/>
    <col min="3" max="3" width="20.28515625" style="31" customWidth="1"/>
    <col min="4" max="4" width="1.5703125" style="31" customWidth="1"/>
    <col min="5" max="5" width="21.28515625" style="31" bestFit="1" customWidth="1"/>
    <col min="6" max="6" width="1.5703125" style="31" customWidth="1"/>
    <col min="7" max="7" width="23.42578125" style="31" bestFit="1" customWidth="1"/>
    <col min="8" max="8" width="62.5703125" style="31" customWidth="1"/>
    <col min="9" max="9" width="5.42578125" style="4" customWidth="1"/>
    <col min="10" max="10" width="9.7109375" style="31" bestFit="1" customWidth="1"/>
    <col min="11" max="11" width="10.42578125" style="31" customWidth="1"/>
    <col min="12" max="16384" width="8.5703125" style="31"/>
  </cols>
  <sheetData>
    <row r="2" spans="1:11" x14ac:dyDescent="0.25">
      <c r="B2" s="1316" t="s">
        <v>0</v>
      </c>
      <c r="C2" s="1316"/>
      <c r="D2" s="1316"/>
      <c r="E2" s="1316"/>
      <c r="F2" s="1316"/>
      <c r="G2" s="1316"/>
      <c r="H2" s="1316"/>
    </row>
    <row r="3" spans="1:11" x14ac:dyDescent="0.25">
      <c r="B3" s="1316" t="s">
        <v>897</v>
      </c>
      <c r="C3" s="1316"/>
      <c r="D3" s="1316"/>
      <c r="E3" s="1316"/>
      <c r="F3" s="1316"/>
      <c r="G3" s="1316"/>
      <c r="H3" s="1316"/>
    </row>
    <row r="4" spans="1:11" x14ac:dyDescent="0.25">
      <c r="B4" s="1316" t="s">
        <v>898</v>
      </c>
      <c r="C4" s="1316"/>
      <c r="D4" s="1316"/>
      <c r="E4" s="1316"/>
      <c r="F4" s="1316"/>
      <c r="G4" s="1316"/>
      <c r="H4" s="1316"/>
    </row>
    <row r="5" spans="1:11" x14ac:dyDescent="0.25">
      <c r="B5" s="1316" t="s">
        <v>2026</v>
      </c>
      <c r="C5" s="1316"/>
      <c r="D5" s="1316"/>
      <c r="E5" s="1316"/>
      <c r="F5" s="1316"/>
      <c r="G5" s="1316"/>
      <c r="H5" s="1316"/>
    </row>
    <row r="6" spans="1:11" ht="15.75" customHeight="1" x14ac:dyDescent="0.25">
      <c r="B6" s="1312" t="s">
        <v>4</v>
      </c>
      <c r="C6" s="1312"/>
      <c r="D6" s="1312"/>
      <c r="E6" s="1312"/>
      <c r="F6" s="1312"/>
      <c r="G6" s="1312"/>
      <c r="H6" s="1312"/>
    </row>
    <row r="8" spans="1:11" x14ac:dyDescent="0.25">
      <c r="B8" s="1"/>
      <c r="C8" s="261" t="s">
        <v>187</v>
      </c>
      <c r="D8" s="261"/>
      <c r="E8" s="261" t="s">
        <v>188</v>
      </c>
      <c r="F8" s="261"/>
      <c r="G8" s="261" t="s">
        <v>899</v>
      </c>
      <c r="H8" s="261"/>
    </row>
    <row r="9" spans="1:11" ht="18.75" x14ac:dyDescent="0.25">
      <c r="A9" s="4" t="s">
        <v>5</v>
      </c>
      <c r="B9" s="1"/>
      <c r="C9" s="261" t="s">
        <v>417</v>
      </c>
      <c r="D9" s="896"/>
      <c r="E9" s="261" t="s">
        <v>416</v>
      </c>
      <c r="F9" s="261"/>
      <c r="G9" s="261"/>
      <c r="H9" s="261"/>
      <c r="I9" s="4" t="s">
        <v>5</v>
      </c>
    </row>
    <row r="10" spans="1:11" x14ac:dyDescent="0.25">
      <c r="A10" s="4" t="s">
        <v>6</v>
      </c>
      <c r="B10" s="927" t="s">
        <v>311</v>
      </c>
      <c r="C10" s="727" t="s">
        <v>420</v>
      </c>
      <c r="D10" s="727"/>
      <c r="E10" s="727" t="s">
        <v>419</v>
      </c>
      <c r="F10" s="727"/>
      <c r="G10" s="927" t="s">
        <v>180</v>
      </c>
      <c r="H10" s="927" t="s">
        <v>8</v>
      </c>
      <c r="I10" s="4" t="s">
        <v>6</v>
      </c>
    </row>
    <row r="11" spans="1:11" x14ac:dyDescent="0.25">
      <c r="B11" s="1"/>
      <c r="C11" s="338"/>
      <c r="D11" s="338"/>
      <c r="E11" s="338"/>
      <c r="F11" s="338"/>
      <c r="G11" s="90"/>
      <c r="H11" s="90"/>
    </row>
    <row r="12" spans="1:11" x14ac:dyDescent="0.25">
      <c r="A12" s="4">
        <v>1</v>
      </c>
      <c r="B12" s="32" t="s">
        <v>421</v>
      </c>
      <c r="C12" s="89"/>
      <c r="D12" s="89"/>
      <c r="E12" s="89"/>
      <c r="F12" s="89"/>
      <c r="G12" s="90"/>
      <c r="H12" s="90"/>
      <c r="I12" s="4">
        <f>A12</f>
        <v>1</v>
      </c>
    </row>
    <row r="13" spans="1:11" x14ac:dyDescent="0.25">
      <c r="A13" s="4">
        <f t="shared" ref="A13:A18" si="0">A12+1</f>
        <v>2</v>
      </c>
      <c r="B13" s="32" t="s">
        <v>422</v>
      </c>
      <c r="C13" s="35">
        <f>-SUM('Order 864-3'!I15:I16)</f>
        <v>0</v>
      </c>
      <c r="D13" s="35"/>
      <c r="E13" s="35">
        <f>-SUM('Order 864-3'!H15:H17,'Order 864-3'!H19)</f>
        <v>0</v>
      </c>
      <c r="F13" s="87"/>
      <c r="G13" s="35">
        <f>SUM(C13:E13)</f>
        <v>0</v>
      </c>
      <c r="H13" s="625" t="s">
        <v>263</v>
      </c>
      <c r="I13" s="4">
        <f t="shared" ref="I13:I18" si="1">I12+1</f>
        <v>2</v>
      </c>
      <c r="K13" s="254"/>
    </row>
    <row r="14" spans="1:11" x14ac:dyDescent="0.25">
      <c r="A14" s="4">
        <f t="shared" si="0"/>
        <v>3</v>
      </c>
      <c r="B14" s="32" t="s">
        <v>900</v>
      </c>
      <c r="C14" s="6">
        <f>-'Order 864-3'!I27</f>
        <v>0</v>
      </c>
      <c r="D14" s="6"/>
      <c r="E14" s="6">
        <f>-SUM('Order 864-3'!H27,'Order 864-3'!F27)</f>
        <v>1651.7724784927279</v>
      </c>
      <c r="F14" s="6"/>
      <c r="G14" s="6">
        <f>SUM(C14:E14)</f>
        <v>1651.7724784927279</v>
      </c>
      <c r="H14" s="625" t="s">
        <v>263</v>
      </c>
      <c r="I14" s="4">
        <f t="shared" si="1"/>
        <v>3</v>
      </c>
    </row>
    <row r="15" spans="1:11" x14ac:dyDescent="0.25">
      <c r="A15" s="4">
        <f t="shared" si="0"/>
        <v>4</v>
      </c>
      <c r="B15" s="809"/>
      <c r="C15" s="6">
        <v>0</v>
      </c>
      <c r="D15" s="6"/>
      <c r="E15" s="6">
        <v>0</v>
      </c>
      <c r="F15" s="6"/>
      <c r="G15" s="6">
        <f>SUM(C15:E15)</f>
        <v>0</v>
      </c>
      <c r="H15" s="810"/>
      <c r="I15" s="4">
        <f t="shared" si="1"/>
        <v>4</v>
      </c>
    </row>
    <row r="16" spans="1:11" x14ac:dyDescent="0.25">
      <c r="A16" s="4">
        <f t="shared" si="0"/>
        <v>5</v>
      </c>
      <c r="B16" s="32"/>
      <c r="C16" s="6">
        <v>0</v>
      </c>
      <c r="D16" s="6"/>
      <c r="E16" s="6">
        <v>0</v>
      </c>
      <c r="F16" s="6"/>
      <c r="G16" s="6">
        <f>SUM(C16:E16)</f>
        <v>0</v>
      </c>
      <c r="H16" s="6"/>
      <c r="I16" s="4">
        <f t="shared" si="1"/>
        <v>5</v>
      </c>
    </row>
    <row r="17" spans="1:11" x14ac:dyDescent="0.25">
      <c r="A17" s="4">
        <f t="shared" si="0"/>
        <v>6</v>
      </c>
      <c r="C17" s="6">
        <v>0</v>
      </c>
      <c r="D17" s="6"/>
      <c r="E17" s="6">
        <v>0</v>
      </c>
      <c r="F17" s="6"/>
      <c r="G17" s="6">
        <f>SUM(C17:E17)</f>
        <v>0</v>
      </c>
      <c r="H17" s="6"/>
      <c r="I17" s="4">
        <f t="shared" si="1"/>
        <v>6</v>
      </c>
    </row>
    <row r="18" spans="1:11" ht="19.5" thickBot="1" x14ac:dyDescent="0.3">
      <c r="A18" s="4">
        <f t="shared" si="0"/>
        <v>7</v>
      </c>
      <c r="B18" s="339" t="s">
        <v>901</v>
      </c>
      <c r="C18" s="88">
        <f>SUM(C13:C17)</f>
        <v>0</v>
      </c>
      <c r="D18" s="43"/>
      <c r="E18" s="88">
        <f>SUM(E13:E17)</f>
        <v>1651.7724784927279</v>
      </c>
      <c r="F18" s="6"/>
      <c r="G18" s="88">
        <f>SUM(G13:G17)</f>
        <v>1651.7724784927279</v>
      </c>
      <c r="H18" s="44" t="s">
        <v>425</v>
      </c>
      <c r="I18" s="4">
        <f t="shared" si="1"/>
        <v>7</v>
      </c>
      <c r="J18" s="428"/>
    </row>
    <row r="19" spans="1:11" ht="16.5" thickTop="1" x14ac:dyDescent="0.25">
      <c r="A19" s="4">
        <f t="shared" ref="A19:A35" si="2">A18+1</f>
        <v>8</v>
      </c>
      <c r="C19" s="84"/>
      <c r="D19" s="84"/>
      <c r="E19" s="84"/>
      <c r="F19" s="84"/>
      <c r="G19" s="872"/>
      <c r="H19" s="84"/>
      <c r="I19" s="4">
        <f t="shared" ref="I19:I35" si="3">I18+1</f>
        <v>8</v>
      </c>
    </row>
    <row r="20" spans="1:11" x14ac:dyDescent="0.25">
      <c r="A20" s="4">
        <f t="shared" si="2"/>
        <v>9</v>
      </c>
      <c r="B20" s="32" t="s">
        <v>426</v>
      </c>
      <c r="C20" s="89"/>
      <c r="D20" s="89"/>
      <c r="E20" s="89"/>
      <c r="F20" s="89"/>
      <c r="G20" s="90"/>
      <c r="H20" s="90"/>
      <c r="I20" s="4">
        <f t="shared" si="3"/>
        <v>9</v>
      </c>
    </row>
    <row r="21" spans="1:11" x14ac:dyDescent="0.25">
      <c r="A21" s="4">
        <f t="shared" si="2"/>
        <v>10</v>
      </c>
      <c r="B21" s="723" t="s">
        <v>423</v>
      </c>
      <c r="C21" s="35">
        <f>-SUM('Order 864-3'!G29:G30, 'Order 864-3'!I29:I30,'Order 864-3'!G37,'Order 864-3'!I37,'Order 864-3'!G40,'Order 864-3'!I40)</f>
        <v>-6512.5797930611943</v>
      </c>
      <c r="D21" s="35"/>
      <c r="E21" s="35">
        <f>-SUM('Order 864-3'!F29:F30, 'Order 864-3'!H29:H30,'Order 864-3'!F37,'Order 864-3'!H37,'Order 864-3'!F40,'Order 864-3'!H40)</f>
        <v>971.07805000000712</v>
      </c>
      <c r="F21" s="35"/>
      <c r="G21" s="35">
        <f>SUM(C21:E21)</f>
        <v>-5541.501743061187</v>
      </c>
      <c r="H21" s="904" t="s">
        <v>902</v>
      </c>
      <c r="I21" s="4">
        <f t="shared" si="3"/>
        <v>10</v>
      </c>
      <c r="K21" s="254"/>
    </row>
    <row r="22" spans="1:11" x14ac:dyDescent="0.25">
      <c r="A22" s="4">
        <f t="shared" si="2"/>
        <v>11</v>
      </c>
      <c r="C22" s="6">
        <v>0</v>
      </c>
      <c r="D22" s="6"/>
      <c r="E22" s="6">
        <v>0</v>
      </c>
      <c r="F22" s="6"/>
      <c r="G22" s="6">
        <f>SUM(C22:E22)</f>
        <v>0</v>
      </c>
      <c r="H22" s="6"/>
      <c r="I22" s="4">
        <f t="shared" si="3"/>
        <v>11</v>
      </c>
    </row>
    <row r="23" spans="1:11" x14ac:dyDescent="0.25">
      <c r="A23" s="4">
        <f t="shared" si="2"/>
        <v>12</v>
      </c>
      <c r="C23" s="6">
        <v>0</v>
      </c>
      <c r="D23" s="6"/>
      <c r="E23" s="6">
        <v>0</v>
      </c>
      <c r="F23" s="6"/>
      <c r="G23" s="6">
        <f>SUM(C23:E23)</f>
        <v>0</v>
      </c>
      <c r="H23" s="6"/>
      <c r="I23" s="4">
        <f t="shared" si="3"/>
        <v>12</v>
      </c>
    </row>
    <row r="24" spans="1:11" x14ac:dyDescent="0.25">
      <c r="A24" s="4">
        <f t="shared" si="2"/>
        <v>13</v>
      </c>
      <c r="C24" s="6">
        <v>0</v>
      </c>
      <c r="D24" s="6"/>
      <c r="E24" s="6">
        <v>0</v>
      </c>
      <c r="F24" s="6"/>
      <c r="G24" s="6">
        <f>SUM(C24:E24)</f>
        <v>0</v>
      </c>
      <c r="H24" s="6"/>
      <c r="I24" s="4">
        <f t="shared" si="3"/>
        <v>13</v>
      </c>
    </row>
    <row r="25" spans="1:11" ht="16.5" thickBot="1" x14ac:dyDescent="0.3">
      <c r="A25" s="4">
        <f t="shared" si="2"/>
        <v>14</v>
      </c>
      <c r="B25" s="339" t="s">
        <v>427</v>
      </c>
      <c r="C25" s="88">
        <f>SUM(C21:C24)</f>
        <v>-6512.5797930611943</v>
      </c>
      <c r="D25" s="43"/>
      <c r="E25" s="88">
        <f>SUM(E21:E24)</f>
        <v>971.07805000000712</v>
      </c>
      <c r="F25" s="6"/>
      <c r="G25" s="88">
        <f>SUM(G21:G24)</f>
        <v>-5541.501743061187</v>
      </c>
      <c r="H25" s="44" t="s">
        <v>428</v>
      </c>
      <c r="I25" s="4">
        <f t="shared" si="3"/>
        <v>14</v>
      </c>
    </row>
    <row r="26" spans="1:11" ht="16.5" thickTop="1" x14ac:dyDescent="0.25">
      <c r="A26" s="4">
        <f t="shared" si="2"/>
        <v>15</v>
      </c>
      <c r="I26" s="4">
        <f t="shared" si="3"/>
        <v>15</v>
      </c>
    </row>
    <row r="27" spans="1:11" x14ac:dyDescent="0.25">
      <c r="A27" s="4">
        <f t="shared" si="2"/>
        <v>16</v>
      </c>
      <c r="B27" s="32" t="s">
        <v>429</v>
      </c>
      <c r="C27" s="89"/>
      <c r="D27" s="89"/>
      <c r="E27" s="89"/>
      <c r="F27" s="89"/>
      <c r="G27" s="90"/>
      <c r="H27" s="4"/>
      <c r="I27" s="4">
        <f t="shared" si="3"/>
        <v>16</v>
      </c>
    </row>
    <row r="28" spans="1:11" x14ac:dyDescent="0.25">
      <c r="A28" s="4">
        <f t="shared" si="2"/>
        <v>17</v>
      </c>
      <c r="B28" s="32" t="s">
        <v>422</v>
      </c>
      <c r="C28" s="35">
        <f>-SUM('Order 864-3'!I21:I22)</f>
        <v>0</v>
      </c>
      <c r="D28" s="35"/>
      <c r="E28" s="35">
        <f>-SUM('Order 864-3'!H21:H22)</f>
        <v>0</v>
      </c>
      <c r="F28" s="87"/>
      <c r="G28" s="35">
        <f>SUM(C28:E28)</f>
        <v>0</v>
      </c>
      <c r="H28" s="625" t="s">
        <v>263</v>
      </c>
      <c r="I28" s="4">
        <f t="shared" si="3"/>
        <v>17</v>
      </c>
    </row>
    <row r="29" spans="1:11" x14ac:dyDescent="0.25">
      <c r="A29" s="4">
        <f t="shared" si="2"/>
        <v>18</v>
      </c>
      <c r="B29" s="32"/>
      <c r="C29" s="6">
        <v>0</v>
      </c>
      <c r="D29" s="6"/>
      <c r="E29" s="6">
        <v>0</v>
      </c>
      <c r="F29" s="6"/>
      <c r="G29" s="6">
        <f>SUM(C29:E29)</f>
        <v>0</v>
      </c>
      <c r="H29" s="4"/>
      <c r="I29" s="4">
        <f t="shared" si="3"/>
        <v>18</v>
      </c>
    </row>
    <row r="30" spans="1:11" x14ac:dyDescent="0.25">
      <c r="A30" s="4">
        <f t="shared" si="2"/>
        <v>19</v>
      </c>
      <c r="B30" s="32"/>
      <c r="C30" s="6">
        <v>0</v>
      </c>
      <c r="D30" s="6"/>
      <c r="E30" s="6">
        <v>0</v>
      </c>
      <c r="F30" s="6"/>
      <c r="G30" s="6">
        <f>SUM(C30:E30)</f>
        <v>0</v>
      </c>
      <c r="H30" s="6"/>
      <c r="I30" s="4">
        <f t="shared" si="3"/>
        <v>19</v>
      </c>
    </row>
    <row r="31" spans="1:11" x14ac:dyDescent="0.25">
      <c r="A31" s="4">
        <f t="shared" si="2"/>
        <v>20</v>
      </c>
      <c r="B31" s="32"/>
      <c r="C31" s="6">
        <v>0</v>
      </c>
      <c r="D31" s="6"/>
      <c r="E31" s="6">
        <v>0</v>
      </c>
      <c r="F31" s="6"/>
      <c r="G31" s="6">
        <f>SUM(C31:E31)</f>
        <v>0</v>
      </c>
      <c r="H31" s="6"/>
      <c r="I31" s="4">
        <f t="shared" si="3"/>
        <v>20</v>
      </c>
    </row>
    <row r="32" spans="1:11" x14ac:dyDescent="0.25">
      <c r="A32" s="4">
        <f t="shared" si="2"/>
        <v>21</v>
      </c>
      <c r="B32" s="32"/>
      <c r="C32" s="6">
        <v>0</v>
      </c>
      <c r="D32" s="6"/>
      <c r="E32" s="6">
        <v>0</v>
      </c>
      <c r="F32" s="6"/>
      <c r="G32" s="6">
        <f>SUM(C32:E32)</f>
        <v>0</v>
      </c>
      <c r="H32" s="6"/>
      <c r="I32" s="4">
        <f t="shared" si="3"/>
        <v>21</v>
      </c>
    </row>
    <row r="33" spans="1:9" ht="16.5" thickBot="1" x14ac:dyDescent="0.3">
      <c r="A33" s="4">
        <f t="shared" si="2"/>
        <v>22</v>
      </c>
      <c r="B33" s="339" t="s">
        <v>430</v>
      </c>
      <c r="C33" s="88">
        <f>SUM(C28:C32)</f>
        <v>0</v>
      </c>
      <c r="D33" s="43"/>
      <c r="E33" s="88">
        <f>SUM(E28:E32)</f>
        <v>0</v>
      </c>
      <c r="F33" s="6"/>
      <c r="G33" s="88">
        <f>SUM(G28:G32)</f>
        <v>0</v>
      </c>
      <c r="H33" s="44" t="s">
        <v>431</v>
      </c>
      <c r="I33" s="4">
        <f t="shared" si="3"/>
        <v>22</v>
      </c>
    </row>
    <row r="34" spans="1:9" ht="16.5" thickTop="1" x14ac:dyDescent="0.25">
      <c r="A34" s="4">
        <f t="shared" si="2"/>
        <v>23</v>
      </c>
      <c r="I34" s="4">
        <f t="shared" si="3"/>
        <v>23</v>
      </c>
    </row>
    <row r="35" spans="1:9" ht="16.5" thickBot="1" x14ac:dyDescent="0.3">
      <c r="A35" s="4">
        <f t="shared" si="2"/>
        <v>24</v>
      </c>
      <c r="B35" s="1" t="s">
        <v>903</v>
      </c>
      <c r="C35" s="88">
        <f>+C18+C25+C33</f>
        <v>-6512.5797930611943</v>
      </c>
      <c r="D35" s="43"/>
      <c r="E35" s="88">
        <f>+E18+E25+E33</f>
        <v>2622.8505284927351</v>
      </c>
      <c r="G35" s="88">
        <f>+G18+G25+G33</f>
        <v>-3889.7292645684593</v>
      </c>
      <c r="H35" s="44" t="s">
        <v>433</v>
      </c>
      <c r="I35" s="4">
        <f t="shared" si="3"/>
        <v>24</v>
      </c>
    </row>
    <row r="36" spans="1:9" ht="16.5" thickTop="1" x14ac:dyDescent="0.25">
      <c r="B36" s="1"/>
      <c r="C36" s="43"/>
      <c r="D36" s="43"/>
      <c r="E36" s="43"/>
      <c r="G36" s="43"/>
      <c r="H36" s="44"/>
    </row>
    <row r="38" spans="1:9" ht="18.75" x14ac:dyDescent="0.25">
      <c r="A38" s="252">
        <v>1</v>
      </c>
      <c r="B38" s="31" t="s">
        <v>434</v>
      </c>
    </row>
    <row r="39" spans="1:9" ht="18.75" x14ac:dyDescent="0.25">
      <c r="A39" s="252">
        <v>2</v>
      </c>
      <c r="B39" s="31" t="s">
        <v>904</v>
      </c>
    </row>
    <row r="40" spans="1:9" ht="18.75" x14ac:dyDescent="0.25">
      <c r="A40" s="252">
        <v>3</v>
      </c>
      <c r="B40" s="31" t="s">
        <v>905</v>
      </c>
    </row>
    <row r="41" spans="1:9" ht="18.75" x14ac:dyDescent="0.25">
      <c r="A41" s="265">
        <v>4</v>
      </c>
      <c r="B41" s="824" t="s">
        <v>2038</v>
      </c>
    </row>
    <row r="42" spans="1:9" x14ac:dyDescent="0.25">
      <c r="B42" s="824" t="s">
        <v>2039</v>
      </c>
    </row>
  </sheetData>
  <mergeCells count="5">
    <mergeCell ref="B2:H2"/>
    <mergeCell ref="B3:H3"/>
    <mergeCell ref="B4:H4"/>
    <mergeCell ref="B5:H5"/>
    <mergeCell ref="B6:H6"/>
  </mergeCells>
  <printOptions horizontalCentered="1"/>
  <pageMargins left="0.5" right="0.5" top="0.5" bottom="0.5" header="0.25" footer="0.25"/>
  <pageSetup scale="66" orientation="landscape" r:id="rId1"/>
  <headerFooter scaleWithDoc="0">
    <oddFooter>&amp;C&amp;"Times New Roman,Regular"&amp;10&amp;A</oddFooter>
  </headerFooter>
  <customProperties>
    <customPr name="_pios_id" r:id="rId2"/>
  </customPropertie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90EE-2B17-43C7-B737-AD07CA784388}">
  <sheetPr>
    <pageSetUpPr fitToPage="1"/>
  </sheetPr>
  <dimension ref="A1:H24"/>
  <sheetViews>
    <sheetView zoomScale="80" zoomScaleNormal="80" workbookViewId="0">
      <selection activeCell="G34" sqref="G34"/>
    </sheetView>
  </sheetViews>
  <sheetFormatPr defaultColWidth="8.7109375" defaultRowHeight="15.75" x14ac:dyDescent="0.25"/>
  <cols>
    <col min="1" max="1" width="5.28515625" style="4" bestFit="1" customWidth="1"/>
    <col min="2" max="2" width="68.7109375" style="31" customWidth="1"/>
    <col min="3" max="3" width="24" style="31" customWidth="1"/>
    <col min="4" max="4" width="1.5703125" style="31" customWidth="1"/>
    <col min="5" max="5" width="16.7109375" style="31" customWidth="1"/>
    <col min="6" max="6" width="1.5703125" style="31" customWidth="1"/>
    <col min="7" max="7" width="34.5703125" style="31" customWidth="1"/>
    <col min="8" max="8" width="5.28515625" style="31" customWidth="1"/>
    <col min="9" max="9" width="8.7109375" style="31"/>
    <col min="10" max="10" width="20.42578125" style="31" bestFit="1" customWidth="1"/>
    <col min="11" max="16384" width="8.7109375" style="31"/>
  </cols>
  <sheetData>
    <row r="1" spans="1:8" x14ac:dyDescent="0.25">
      <c r="E1" s="70"/>
      <c r="F1" s="70"/>
      <c r="G1" s="4"/>
      <c r="H1" s="4"/>
    </row>
    <row r="2" spans="1:8" x14ac:dyDescent="0.25">
      <c r="B2" s="1316" t="s">
        <v>0</v>
      </c>
      <c r="C2" s="1316"/>
      <c r="D2" s="1316"/>
      <c r="E2" s="1316"/>
      <c r="F2" s="1316"/>
      <c r="G2" s="1316"/>
      <c r="H2" s="4"/>
    </row>
    <row r="3" spans="1:8" x14ac:dyDescent="0.25">
      <c r="B3" s="1316" t="s">
        <v>906</v>
      </c>
      <c r="C3" s="1316"/>
      <c r="D3" s="1316"/>
      <c r="E3" s="1316"/>
      <c r="F3" s="1316"/>
      <c r="G3" s="1316"/>
      <c r="H3" s="4"/>
    </row>
    <row r="4" spans="1:8" x14ac:dyDescent="0.25">
      <c r="B4" s="1316" t="s">
        <v>907</v>
      </c>
      <c r="C4" s="1316"/>
      <c r="D4" s="1316"/>
      <c r="E4" s="1316"/>
      <c r="F4" s="1316"/>
      <c r="G4" s="1316"/>
      <c r="H4" s="4"/>
    </row>
    <row r="5" spans="1:8" x14ac:dyDescent="0.25">
      <c r="B5" s="1318" t="str">
        <f>'Stmt AD'!B5</f>
        <v>Base Period &amp; True-Up Period 12 - Months Ending December 31, 2025</v>
      </c>
      <c r="C5" s="1318"/>
      <c r="D5" s="1318"/>
      <c r="E5" s="1318"/>
      <c r="F5" s="1318"/>
      <c r="G5" s="1318"/>
      <c r="H5" s="4"/>
    </row>
    <row r="6" spans="1:8" x14ac:dyDescent="0.25">
      <c r="B6" s="1312" t="s">
        <v>4</v>
      </c>
      <c r="C6" s="1313"/>
      <c r="D6" s="1313"/>
      <c r="E6" s="1313"/>
      <c r="F6" s="1313"/>
      <c r="G6" s="1313"/>
      <c r="H6" s="4"/>
    </row>
    <row r="7" spans="1:8" x14ac:dyDescent="0.25">
      <c r="B7" s="4"/>
      <c r="C7" s="4"/>
      <c r="D7" s="4"/>
      <c r="E7" s="4"/>
      <c r="F7" s="4"/>
      <c r="G7" s="4"/>
      <c r="H7" s="4"/>
    </row>
    <row r="8" spans="1:8" x14ac:dyDescent="0.25">
      <c r="A8" s="4" t="s">
        <v>5</v>
      </c>
      <c r="C8" s="4" t="s">
        <v>210</v>
      </c>
      <c r="E8" s="4"/>
      <c r="F8" s="4"/>
      <c r="G8" s="4"/>
      <c r="H8" s="4" t="s">
        <v>5</v>
      </c>
    </row>
    <row r="9" spans="1:8" x14ac:dyDescent="0.25">
      <c r="A9" s="4" t="s">
        <v>6</v>
      </c>
      <c r="B9" s="31" t="s">
        <v>1</v>
      </c>
      <c r="C9" s="848" t="s">
        <v>212</v>
      </c>
      <c r="E9" s="848" t="s">
        <v>7</v>
      </c>
      <c r="F9" s="622"/>
      <c r="G9" s="848" t="s">
        <v>8</v>
      </c>
      <c r="H9" s="4" t="s">
        <v>6</v>
      </c>
    </row>
    <row r="10" spans="1:8" x14ac:dyDescent="0.25">
      <c r="E10" s="70"/>
      <c r="F10" s="70"/>
      <c r="G10" s="4"/>
      <c r="H10" s="4"/>
    </row>
    <row r="11" spans="1:8" ht="18.75" x14ac:dyDescent="0.25">
      <c r="A11" s="4">
        <f>+A10+1</f>
        <v>1</v>
      </c>
      <c r="B11" s="31" t="s">
        <v>883</v>
      </c>
      <c r="C11" s="4"/>
      <c r="E11" s="82">
        <v>0</v>
      </c>
      <c r="F11" s="622"/>
      <c r="G11" s="4" t="s">
        <v>1983</v>
      </c>
      <c r="H11" s="4">
        <f>A11</f>
        <v>1</v>
      </c>
    </row>
    <row r="12" spans="1:8" x14ac:dyDescent="0.25">
      <c r="A12" s="4">
        <f>+A11+1</f>
        <v>2</v>
      </c>
      <c r="E12" s="70"/>
      <c r="F12" s="70"/>
      <c r="G12" s="622"/>
      <c r="H12" s="4">
        <f>+H11+1</f>
        <v>2</v>
      </c>
    </row>
    <row r="13" spans="1:8" x14ac:dyDescent="0.25">
      <c r="A13" s="4">
        <f>+A12+1</f>
        <v>3</v>
      </c>
      <c r="B13" s="31" t="s">
        <v>885</v>
      </c>
      <c r="E13" s="70"/>
      <c r="F13" s="622"/>
      <c r="G13" s="622"/>
      <c r="H13" s="4">
        <f>+H12+1</f>
        <v>3</v>
      </c>
    </row>
    <row r="14" spans="1:8" x14ac:dyDescent="0.25">
      <c r="A14" s="4">
        <f t="shared" ref="A14:A19" si="0">+A13+1</f>
        <v>4</v>
      </c>
      <c r="B14" s="32" t="s">
        <v>886</v>
      </c>
      <c r="C14" s="4"/>
      <c r="E14" s="42">
        <f>'AT-1'!G18</f>
        <v>0</v>
      </c>
      <c r="F14" s="622"/>
      <c r="G14" s="4" t="s">
        <v>908</v>
      </c>
      <c r="H14" s="4">
        <f t="shared" ref="H14:H19" si="1">+H13+1</f>
        <v>4</v>
      </c>
    </row>
    <row r="15" spans="1:8" x14ac:dyDescent="0.25">
      <c r="A15" s="4">
        <f t="shared" si="0"/>
        <v>5</v>
      </c>
      <c r="B15" s="32" t="s">
        <v>888</v>
      </c>
      <c r="C15" s="4"/>
      <c r="E15" s="42">
        <f>'AT-1'!G25</f>
        <v>0</v>
      </c>
      <c r="F15" s="622"/>
      <c r="G15" s="4" t="s">
        <v>909</v>
      </c>
      <c r="H15" s="4">
        <f t="shared" si="1"/>
        <v>5</v>
      </c>
    </row>
    <row r="16" spans="1:8" x14ac:dyDescent="0.25">
      <c r="A16" s="4">
        <f t="shared" si="0"/>
        <v>6</v>
      </c>
      <c r="B16" s="32" t="s">
        <v>890</v>
      </c>
      <c r="C16" s="4"/>
      <c r="E16" s="905">
        <f>'AT-1'!G33</f>
        <v>0</v>
      </c>
      <c r="F16" s="622"/>
      <c r="G16" s="4" t="s">
        <v>910</v>
      </c>
      <c r="H16" s="4">
        <f t="shared" si="1"/>
        <v>6</v>
      </c>
    </row>
    <row r="17" spans="1:8" x14ac:dyDescent="0.25">
      <c r="A17" s="4">
        <f t="shared" si="0"/>
        <v>7</v>
      </c>
      <c r="B17" s="32" t="s">
        <v>892</v>
      </c>
      <c r="C17" s="4"/>
      <c r="E17" s="1049">
        <f>SUM(E14:E16)</f>
        <v>0</v>
      </c>
      <c r="F17" s="622"/>
      <c r="G17" s="4" t="s">
        <v>893</v>
      </c>
      <c r="H17" s="4">
        <f t="shared" si="1"/>
        <v>7</v>
      </c>
    </row>
    <row r="18" spans="1:8" x14ac:dyDescent="0.25">
      <c r="A18" s="4">
        <f t="shared" si="0"/>
        <v>8</v>
      </c>
      <c r="E18" s="6"/>
      <c r="F18" s="6"/>
      <c r="G18" s="44"/>
      <c r="H18" s="4">
        <f t="shared" si="1"/>
        <v>8</v>
      </c>
    </row>
    <row r="19" spans="1:8" ht="16.5" thickBot="1" x14ac:dyDescent="0.3">
      <c r="A19" s="4">
        <f t="shared" si="0"/>
        <v>9</v>
      </c>
      <c r="B19" s="31" t="s">
        <v>911</v>
      </c>
      <c r="E19" s="37">
        <f>E11+E17</f>
        <v>0</v>
      </c>
      <c r="F19" s="35"/>
      <c r="G19" s="4" t="s">
        <v>895</v>
      </c>
      <c r="H19" s="4">
        <f t="shared" si="1"/>
        <v>9</v>
      </c>
    </row>
    <row r="20" spans="1:8" ht="16.5" thickTop="1" x14ac:dyDescent="0.25">
      <c r="E20" s="35"/>
      <c r="F20" s="35"/>
      <c r="G20" s="4"/>
      <c r="H20" s="4"/>
    </row>
    <row r="21" spans="1:8" x14ac:dyDescent="0.25">
      <c r="H21" s="4"/>
    </row>
    <row r="22" spans="1:8" ht="18.75" x14ac:dyDescent="0.25">
      <c r="A22" s="252">
        <v>1</v>
      </c>
      <c r="B22" s="31" t="s">
        <v>896</v>
      </c>
      <c r="H22" s="4"/>
    </row>
    <row r="23" spans="1:8" ht="18.75" x14ac:dyDescent="0.25">
      <c r="A23" s="265"/>
      <c r="B23" s="32"/>
      <c r="H23" s="4"/>
    </row>
    <row r="24" spans="1:8" x14ac:dyDescent="0.25">
      <c r="B24" s="32"/>
      <c r="H24" s="4"/>
    </row>
  </sheetData>
  <mergeCells count="5">
    <mergeCell ref="B2:G2"/>
    <mergeCell ref="B3:G3"/>
    <mergeCell ref="B4:G4"/>
    <mergeCell ref="B5:G5"/>
    <mergeCell ref="B6:G6"/>
  </mergeCells>
  <printOptions horizontalCentered="1"/>
  <pageMargins left="0.5" right="0.5" top="0.5" bottom="0.5" header="0.25" footer="0.25"/>
  <pageSetup scale="61" orientation="portrait" r:id="rId1"/>
  <headerFooter scaleWithDoc="0">
    <oddFooter>&amp;C&amp;"Times New Roman,Regular"&amp;10&amp;A</oddFoot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I38"/>
  <sheetViews>
    <sheetView zoomScale="80" zoomScaleNormal="80" workbookViewId="0">
      <selection activeCell="E39" sqref="E39"/>
    </sheetView>
  </sheetViews>
  <sheetFormatPr defaultColWidth="9.28515625" defaultRowHeight="15.75" x14ac:dyDescent="0.25"/>
  <cols>
    <col min="1" max="1" width="5.28515625" style="217" customWidth="1"/>
    <col min="2" max="2" width="35.28515625" style="1" customWidth="1"/>
    <col min="3" max="3" width="18.5703125" style="86" customWidth="1"/>
    <col min="4" max="4" width="25.28515625" style="86" customWidth="1"/>
    <col min="5" max="5" width="18.5703125" style="1" customWidth="1"/>
    <col min="6" max="6" width="62.5703125" style="1" customWidth="1"/>
    <col min="7" max="7" width="5.28515625" style="217" customWidth="1"/>
    <col min="8" max="8" width="24" style="1" customWidth="1"/>
    <col min="9" max="9" width="11" style="1" customWidth="1"/>
    <col min="10" max="10" width="7.28515625" style="1" customWidth="1"/>
    <col min="11" max="11" width="9.28515625" style="1" customWidth="1"/>
    <col min="12" max="12" width="14" style="1" customWidth="1"/>
    <col min="13" max="13" width="13.42578125" style="1" customWidth="1"/>
    <col min="14" max="16384" width="9.28515625" style="1"/>
  </cols>
  <sheetData>
    <row r="2" spans="1:9" x14ac:dyDescent="0.25">
      <c r="B2" s="1316" t="s">
        <v>0</v>
      </c>
      <c r="C2" s="1316"/>
      <c r="D2" s="1316"/>
      <c r="E2" s="1316"/>
      <c r="F2" s="1316"/>
    </row>
    <row r="3" spans="1:9" x14ac:dyDescent="0.25">
      <c r="B3" s="1316" t="s">
        <v>255</v>
      </c>
      <c r="C3" s="1316"/>
      <c r="D3" s="1316"/>
      <c r="E3" s="1316"/>
      <c r="F3" s="1316"/>
    </row>
    <row r="4" spans="1:9" x14ac:dyDescent="0.25">
      <c r="B4" s="1316" t="s">
        <v>256</v>
      </c>
      <c r="C4" s="1316"/>
      <c r="D4" s="1316"/>
      <c r="E4" s="1316"/>
      <c r="F4" s="1316"/>
    </row>
    <row r="5" spans="1:9" x14ac:dyDescent="0.25">
      <c r="B5" s="1316" t="str">
        <f>'AD-1'!B5</f>
        <v>BASE PERIOD / TRUE UP PERIOD - 12/31/2025 PER BOOK</v>
      </c>
      <c r="C5" s="1316"/>
      <c r="D5" s="1316"/>
      <c r="E5" s="1316"/>
      <c r="F5" s="1316"/>
    </row>
    <row r="6" spans="1:9" x14ac:dyDescent="0.25">
      <c r="B6" s="1312" t="s">
        <v>4</v>
      </c>
      <c r="C6" s="1312"/>
      <c r="D6" s="1312"/>
      <c r="E6" s="1312"/>
      <c r="F6" s="1312"/>
    </row>
    <row r="7" spans="1:9" x14ac:dyDescent="0.25">
      <c r="B7" s="266"/>
      <c r="C7" s="267"/>
      <c r="D7" s="267"/>
      <c r="E7" s="266"/>
      <c r="F7" s="266"/>
    </row>
    <row r="8" spans="1:9" x14ac:dyDescent="0.25">
      <c r="B8" s="1316" t="s">
        <v>285</v>
      </c>
      <c r="C8" s="1316"/>
      <c r="D8" s="1316"/>
      <c r="E8" s="1316"/>
      <c r="F8" s="1316"/>
    </row>
    <row r="10" spans="1:9" x14ac:dyDescent="0.25">
      <c r="B10" s="924"/>
      <c r="C10" s="268" t="s">
        <v>180</v>
      </c>
      <c r="D10" s="925"/>
      <c r="E10" s="268"/>
      <c r="F10" s="925"/>
    </row>
    <row r="11" spans="1:9" x14ac:dyDescent="0.25">
      <c r="B11" s="269"/>
      <c r="C11" s="273" t="s">
        <v>286</v>
      </c>
      <c r="D11" s="269"/>
      <c r="E11" s="273" t="s">
        <v>286</v>
      </c>
      <c r="F11" s="269"/>
    </row>
    <row r="12" spans="1:9" x14ac:dyDescent="0.25">
      <c r="A12" s="4" t="s">
        <v>5</v>
      </c>
      <c r="B12" s="272"/>
      <c r="C12" s="217" t="s">
        <v>259</v>
      </c>
      <c r="D12" s="269"/>
      <c r="E12" s="273" t="s">
        <v>259</v>
      </c>
      <c r="F12" s="269"/>
      <c r="G12" s="4" t="s">
        <v>5</v>
      </c>
    </row>
    <row r="13" spans="1:9" ht="18.75" x14ac:dyDescent="0.25">
      <c r="A13" s="4" t="s">
        <v>6</v>
      </c>
      <c r="B13" s="274" t="s">
        <v>260</v>
      </c>
      <c r="C13" s="927" t="s">
        <v>261</v>
      </c>
      <c r="D13" s="274" t="s">
        <v>8</v>
      </c>
      <c r="E13" s="275" t="s">
        <v>262</v>
      </c>
      <c r="F13" s="274" t="s">
        <v>8</v>
      </c>
      <c r="G13" s="4" t="s">
        <v>6</v>
      </c>
      <c r="H13" s="280"/>
    </row>
    <row r="14" spans="1:9" x14ac:dyDescent="0.25">
      <c r="A14" s="4">
        <v>1</v>
      </c>
      <c r="B14" s="928" t="str">
        <f>'AD-1'!B14</f>
        <v>Dec-24</v>
      </c>
      <c r="C14" s="58">
        <v>0</v>
      </c>
      <c r="D14" s="933" t="s">
        <v>263</v>
      </c>
      <c r="E14" s="58">
        <v>0</v>
      </c>
      <c r="F14" s="934" t="s">
        <v>263</v>
      </c>
      <c r="G14" s="4">
        <f>A14</f>
        <v>1</v>
      </c>
      <c r="H14" s="280"/>
      <c r="I14" s="280"/>
    </row>
    <row r="15" spans="1:9" x14ac:dyDescent="0.25">
      <c r="A15" s="4">
        <f>A14+1</f>
        <v>2</v>
      </c>
      <c r="B15" s="928" t="str">
        <f>'AD-1'!B15</f>
        <v>Jan-25</v>
      </c>
      <c r="C15" s="52">
        <v>0</v>
      </c>
      <c r="D15" s="935"/>
      <c r="E15" s="52">
        <v>0</v>
      </c>
      <c r="F15" s="934"/>
      <c r="G15" s="4">
        <f>G14+1</f>
        <v>2</v>
      </c>
      <c r="H15" s="280"/>
    </row>
    <row r="16" spans="1:9" x14ac:dyDescent="0.25">
      <c r="A16" s="4">
        <f t="shared" ref="A16:A32" si="0">A15+1</f>
        <v>3</v>
      </c>
      <c r="B16" s="931" t="s">
        <v>265</v>
      </c>
      <c r="C16" s="52">
        <v>0</v>
      </c>
      <c r="D16" s="935"/>
      <c r="E16" s="52">
        <v>0</v>
      </c>
      <c r="F16" s="934"/>
      <c r="G16" s="4">
        <f t="shared" ref="G16:G32" si="1">G15+1</f>
        <v>3</v>
      </c>
      <c r="H16" s="280"/>
    </row>
    <row r="17" spans="1:9" x14ac:dyDescent="0.25">
      <c r="A17" s="4">
        <f t="shared" si="0"/>
        <v>4</v>
      </c>
      <c r="B17" s="931" t="s">
        <v>266</v>
      </c>
      <c r="C17" s="52">
        <v>0</v>
      </c>
      <c r="D17" s="935"/>
      <c r="E17" s="52">
        <v>0</v>
      </c>
      <c r="F17" s="934"/>
      <c r="G17" s="4">
        <f t="shared" si="1"/>
        <v>4</v>
      </c>
      <c r="H17" s="280"/>
    </row>
    <row r="18" spans="1:9" x14ac:dyDescent="0.25">
      <c r="A18" s="4">
        <f t="shared" si="0"/>
        <v>5</v>
      </c>
      <c r="B18" s="931" t="s">
        <v>267</v>
      </c>
      <c r="C18" s="52">
        <v>0</v>
      </c>
      <c r="D18" s="935"/>
      <c r="E18" s="52">
        <v>0</v>
      </c>
      <c r="F18" s="934"/>
      <c r="G18" s="4">
        <f t="shared" si="1"/>
        <v>5</v>
      </c>
      <c r="H18" s="280"/>
    </row>
    <row r="19" spans="1:9" x14ac:dyDescent="0.25">
      <c r="A19" s="4">
        <f t="shared" si="0"/>
        <v>6</v>
      </c>
      <c r="B19" s="931" t="s">
        <v>268</v>
      </c>
      <c r="C19" s="52">
        <v>0</v>
      </c>
      <c r="D19" s="935"/>
      <c r="E19" s="52">
        <v>0</v>
      </c>
      <c r="F19" s="934"/>
      <c r="G19" s="4">
        <f t="shared" si="1"/>
        <v>6</v>
      </c>
      <c r="H19" s="280"/>
    </row>
    <row r="20" spans="1:9" x14ac:dyDescent="0.25">
      <c r="A20" s="4">
        <f>A19+1</f>
        <v>7</v>
      </c>
      <c r="B20" s="931" t="s">
        <v>269</v>
      </c>
      <c r="C20" s="52">
        <v>0</v>
      </c>
      <c r="D20" s="935"/>
      <c r="E20" s="52">
        <v>0</v>
      </c>
      <c r="F20" s="934"/>
      <c r="G20" s="4">
        <f>G19+1</f>
        <v>7</v>
      </c>
      <c r="H20" s="280"/>
    </row>
    <row r="21" spans="1:9" x14ac:dyDescent="0.25">
      <c r="A21" s="4">
        <f t="shared" si="0"/>
        <v>8</v>
      </c>
      <c r="B21" s="931" t="s">
        <v>270</v>
      </c>
      <c r="C21" s="52">
        <v>0</v>
      </c>
      <c r="D21" s="935"/>
      <c r="E21" s="52">
        <v>0</v>
      </c>
      <c r="F21" s="934"/>
      <c r="G21" s="4">
        <f t="shared" si="1"/>
        <v>8</v>
      </c>
    </row>
    <row r="22" spans="1:9" x14ac:dyDescent="0.25">
      <c r="A22" s="4">
        <f t="shared" si="0"/>
        <v>9</v>
      </c>
      <c r="B22" s="931" t="s">
        <v>271</v>
      </c>
      <c r="C22" s="52">
        <v>0</v>
      </c>
      <c r="D22" s="935"/>
      <c r="E22" s="52">
        <v>0</v>
      </c>
      <c r="F22" s="934"/>
      <c r="G22" s="4">
        <f t="shared" si="1"/>
        <v>9</v>
      </c>
    </row>
    <row r="23" spans="1:9" x14ac:dyDescent="0.25">
      <c r="A23" s="4">
        <f t="shared" si="0"/>
        <v>10</v>
      </c>
      <c r="B23" s="931" t="s">
        <v>272</v>
      </c>
      <c r="C23" s="52">
        <v>0</v>
      </c>
      <c r="D23" s="935"/>
      <c r="E23" s="52">
        <v>0</v>
      </c>
      <c r="F23" s="934"/>
      <c r="G23" s="4">
        <f t="shared" si="1"/>
        <v>10</v>
      </c>
    </row>
    <row r="24" spans="1:9" x14ac:dyDescent="0.25">
      <c r="A24" s="4">
        <f t="shared" si="0"/>
        <v>11</v>
      </c>
      <c r="B24" s="931" t="s">
        <v>273</v>
      </c>
      <c r="C24" s="52">
        <v>0</v>
      </c>
      <c r="D24" s="935"/>
      <c r="E24" s="52">
        <v>0</v>
      </c>
      <c r="F24" s="934"/>
      <c r="G24" s="4">
        <f t="shared" si="1"/>
        <v>11</v>
      </c>
    </row>
    <row r="25" spans="1:9" x14ac:dyDescent="0.25">
      <c r="A25" s="4">
        <f t="shared" si="0"/>
        <v>12</v>
      </c>
      <c r="B25" s="931" t="s">
        <v>274</v>
      </c>
      <c r="C25" s="52">
        <v>0</v>
      </c>
      <c r="D25" s="935"/>
      <c r="E25" s="52">
        <v>0</v>
      </c>
      <c r="F25" s="934"/>
      <c r="G25" s="4">
        <f t="shared" si="1"/>
        <v>12</v>
      </c>
    </row>
    <row r="26" spans="1:9" x14ac:dyDescent="0.25">
      <c r="A26" s="4">
        <f t="shared" si="0"/>
        <v>13</v>
      </c>
      <c r="B26" s="629" t="str">
        <f>'AD-1'!B26</f>
        <v>Dec-25</v>
      </c>
      <c r="C26" s="53">
        <v>0</v>
      </c>
      <c r="D26" s="68" t="s">
        <v>263</v>
      </c>
      <c r="E26" s="53">
        <v>0</v>
      </c>
      <c r="F26" s="589" t="s">
        <v>263</v>
      </c>
      <c r="G26" s="4">
        <f t="shared" si="1"/>
        <v>13</v>
      </c>
      <c r="I26" s="280"/>
    </row>
    <row r="27" spans="1:9" x14ac:dyDescent="0.25">
      <c r="A27" s="4">
        <f t="shared" si="0"/>
        <v>14</v>
      </c>
      <c r="B27" s="277"/>
      <c r="C27" s="59"/>
      <c r="D27" s="353"/>
      <c r="E27" s="60"/>
      <c r="F27" s="936"/>
      <c r="G27" s="4">
        <f t="shared" si="1"/>
        <v>14</v>
      </c>
    </row>
    <row r="28" spans="1:9" x14ac:dyDescent="0.25">
      <c r="A28" s="4">
        <f t="shared" si="0"/>
        <v>15</v>
      </c>
      <c r="B28" s="277" t="s">
        <v>276</v>
      </c>
      <c r="C28" s="55">
        <f>SUM(C14:C26)</f>
        <v>0</v>
      </c>
      <c r="D28" s="933" t="s">
        <v>277</v>
      </c>
      <c r="E28" s="55">
        <f>SUM(E14:E26)</f>
        <v>0</v>
      </c>
      <c r="F28" s="934" t="s">
        <v>277</v>
      </c>
      <c r="G28" s="4">
        <f t="shared" si="1"/>
        <v>15</v>
      </c>
    </row>
    <row r="29" spans="1:9" x14ac:dyDescent="0.25">
      <c r="A29" s="4">
        <f t="shared" si="0"/>
        <v>16</v>
      </c>
      <c r="B29" s="116"/>
      <c r="C29" s="61"/>
      <c r="D29" s="93"/>
      <c r="E29" s="61"/>
      <c r="F29" s="282"/>
      <c r="G29" s="4">
        <f t="shared" si="1"/>
        <v>16</v>
      </c>
    </row>
    <row r="30" spans="1:9" x14ac:dyDescent="0.25">
      <c r="A30" s="4">
        <f t="shared" si="0"/>
        <v>17</v>
      </c>
      <c r="B30" s="277"/>
      <c r="C30" s="60"/>
      <c r="D30" s="232"/>
      <c r="E30" s="60"/>
      <c r="F30" s="937"/>
      <c r="G30" s="4">
        <f t="shared" si="1"/>
        <v>17</v>
      </c>
    </row>
    <row r="31" spans="1:9" x14ac:dyDescent="0.25">
      <c r="A31" s="4">
        <f t="shared" si="0"/>
        <v>18</v>
      </c>
      <c r="B31" s="277" t="s">
        <v>278</v>
      </c>
      <c r="C31" s="55">
        <f>C28/13</f>
        <v>0</v>
      </c>
      <c r="D31" s="933" t="s">
        <v>279</v>
      </c>
      <c r="E31" s="55">
        <f>E28/13</f>
        <v>0</v>
      </c>
      <c r="F31" s="934" t="s">
        <v>279</v>
      </c>
      <c r="G31" s="4">
        <f t="shared" si="1"/>
        <v>18</v>
      </c>
      <c r="I31" s="280"/>
    </row>
    <row r="32" spans="1:9" x14ac:dyDescent="0.25">
      <c r="A32" s="4">
        <f t="shared" si="0"/>
        <v>19</v>
      </c>
      <c r="B32" s="116"/>
      <c r="C32" s="61"/>
      <c r="D32" s="92"/>
      <c r="E32" s="61"/>
      <c r="F32" s="282"/>
      <c r="G32" s="4">
        <f t="shared" si="1"/>
        <v>19</v>
      </c>
    </row>
    <row r="33" spans="1:7" x14ac:dyDescent="0.25">
      <c r="A33" s="4"/>
      <c r="B33" s="31"/>
      <c r="C33" s="6"/>
      <c r="D33" s="6"/>
      <c r="E33" s="6"/>
      <c r="F33" s="281"/>
      <c r="G33" s="579"/>
    </row>
    <row r="34" spans="1:7" x14ac:dyDescent="0.25">
      <c r="A34" s="4"/>
      <c r="C34" s="281"/>
      <c r="D34" s="281"/>
      <c r="E34" s="281"/>
      <c r="F34" s="281"/>
      <c r="G34" s="579"/>
    </row>
    <row r="35" spans="1:7" ht="18.75" x14ac:dyDescent="0.25">
      <c r="A35" s="265">
        <v>1</v>
      </c>
      <c r="B35" s="31" t="s">
        <v>281</v>
      </c>
      <c r="C35" s="281"/>
      <c r="D35" s="281"/>
      <c r="E35" s="281"/>
      <c r="F35" s="281"/>
      <c r="G35" s="579"/>
    </row>
    <row r="36" spans="1:7" x14ac:dyDescent="0.25">
      <c r="B36" s="31" t="s">
        <v>282</v>
      </c>
      <c r="C36" s="281"/>
      <c r="D36" s="281"/>
      <c r="E36" s="281"/>
      <c r="F36" s="281"/>
      <c r="G36" s="579"/>
    </row>
    <row r="37" spans="1:7" x14ac:dyDescent="0.25">
      <c r="C37" s="281"/>
      <c r="D37" s="281"/>
      <c r="E37" s="281"/>
      <c r="F37" s="281"/>
      <c r="G37" s="579"/>
    </row>
    <row r="38" spans="1:7" x14ac:dyDescent="0.25">
      <c r="C38" s="280"/>
      <c r="D38" s="280"/>
      <c r="E38" s="280"/>
      <c r="F38" s="280"/>
      <c r="G38" s="579"/>
    </row>
  </sheetData>
  <mergeCells count="6">
    <mergeCell ref="B8:F8"/>
    <mergeCell ref="B2:F2"/>
    <mergeCell ref="B3:F3"/>
    <mergeCell ref="B4:F4"/>
    <mergeCell ref="B5:F5"/>
    <mergeCell ref="B6:F6"/>
  </mergeCells>
  <printOptions horizontalCentered="1"/>
  <pageMargins left="0.5" right="0.5" top="0.5" bottom="0.5" header="0.25" footer="0.25"/>
  <pageSetup scale="75" orientation="landscape" r:id="rId1"/>
  <headerFooter scaleWithDoc="0">
    <oddFooter>&amp;C&amp;"Times New Roman,Regular"&amp;10&amp;A</oddFooter>
  </headerFooter>
  <customProperties>
    <customPr name="_pios_id" r:id="rId2"/>
  </customPropertie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3EB3C-0A2B-4302-A540-E91ABC88C881}">
  <sheetPr>
    <pageSetUpPr fitToPage="1"/>
  </sheetPr>
  <dimension ref="A2:I40"/>
  <sheetViews>
    <sheetView zoomScale="80" zoomScaleNormal="80" workbookViewId="0">
      <selection activeCell="L31" sqref="L31"/>
    </sheetView>
  </sheetViews>
  <sheetFormatPr defaultColWidth="8.5703125" defaultRowHeight="15.75" x14ac:dyDescent="0.25"/>
  <cols>
    <col min="1" max="1" width="5.42578125" style="4" customWidth="1"/>
    <col min="2" max="2" width="50.7109375" style="31" customWidth="1"/>
    <col min="3" max="3" width="20.28515625" style="31" customWidth="1"/>
    <col min="4" max="4" width="1.5703125" style="31" customWidth="1"/>
    <col min="5" max="5" width="20.28515625" style="31" customWidth="1"/>
    <col min="6" max="6" width="1.5703125" style="31" customWidth="1"/>
    <col min="7" max="7" width="23.42578125" style="31" bestFit="1" customWidth="1"/>
    <col min="8" max="8" width="62.5703125" style="31" customWidth="1"/>
    <col min="9" max="9" width="5.42578125" style="4" customWidth="1"/>
    <col min="10" max="16384" width="8.5703125" style="31"/>
  </cols>
  <sheetData>
    <row r="2" spans="1:9" x14ac:dyDescent="0.25">
      <c r="B2" s="1316" t="s">
        <v>0</v>
      </c>
      <c r="C2" s="1316"/>
      <c r="D2" s="1316"/>
      <c r="E2" s="1316"/>
      <c r="F2" s="1316"/>
      <c r="G2" s="1316"/>
      <c r="H2" s="1316"/>
    </row>
    <row r="3" spans="1:9" x14ac:dyDescent="0.25">
      <c r="B3" s="1316" t="s">
        <v>912</v>
      </c>
      <c r="C3" s="1316"/>
      <c r="D3" s="1316"/>
      <c r="E3" s="1316"/>
      <c r="F3" s="1316"/>
      <c r="G3" s="1316"/>
      <c r="H3" s="1316"/>
    </row>
    <row r="4" spans="1:9" x14ac:dyDescent="0.25">
      <c r="B4" s="1316" t="s">
        <v>898</v>
      </c>
      <c r="C4" s="1316"/>
      <c r="D4" s="1316"/>
      <c r="E4" s="1316"/>
      <c r="F4" s="1316"/>
      <c r="G4" s="1316"/>
      <c r="H4" s="1316"/>
    </row>
    <row r="5" spans="1:9" x14ac:dyDescent="0.25">
      <c r="B5" s="1316" t="str">
        <f>'AR-1'!B5</f>
        <v>BASE PERIOD 12 MONTHS ENDING DECEMBER 31, 2025</v>
      </c>
      <c r="C5" s="1316"/>
      <c r="D5" s="1316"/>
      <c r="E5" s="1316"/>
      <c r="F5" s="1316"/>
      <c r="G5" s="1316"/>
      <c r="H5" s="1316"/>
    </row>
    <row r="6" spans="1:9" ht="15.75" customHeight="1" x14ac:dyDescent="0.25">
      <c r="B6" s="1312" t="s">
        <v>4</v>
      </c>
      <c r="C6" s="1312"/>
      <c r="D6" s="1312"/>
      <c r="E6" s="1312"/>
      <c r="F6" s="1312"/>
      <c r="G6" s="1312"/>
      <c r="H6" s="1312"/>
    </row>
    <row r="8" spans="1:9" x14ac:dyDescent="0.25">
      <c r="B8" s="1"/>
      <c r="C8" s="261" t="s">
        <v>187</v>
      </c>
      <c r="D8" s="261"/>
      <c r="E8" s="261" t="s">
        <v>188</v>
      </c>
      <c r="F8" s="261"/>
      <c r="G8" s="261" t="s">
        <v>899</v>
      </c>
      <c r="H8" s="261"/>
    </row>
    <row r="9" spans="1:9" ht="18.75" x14ac:dyDescent="0.25">
      <c r="A9" s="4" t="s">
        <v>5</v>
      </c>
      <c r="B9" s="1"/>
      <c r="C9" s="261" t="s">
        <v>913</v>
      </c>
      <c r="D9" s="261"/>
      <c r="E9" s="261" t="s">
        <v>914</v>
      </c>
      <c r="F9" s="261"/>
      <c r="G9" s="261"/>
      <c r="H9" s="261"/>
      <c r="I9" s="4" t="s">
        <v>5</v>
      </c>
    </row>
    <row r="10" spans="1:9" x14ac:dyDescent="0.25">
      <c r="A10" s="4" t="s">
        <v>6</v>
      </c>
      <c r="B10" s="927" t="s">
        <v>311</v>
      </c>
      <c r="C10" s="727" t="s">
        <v>419</v>
      </c>
      <c r="D10" s="727"/>
      <c r="E10" s="727" t="s">
        <v>420</v>
      </c>
      <c r="F10" s="727"/>
      <c r="G10" s="927" t="s">
        <v>180</v>
      </c>
      <c r="H10" s="927" t="s">
        <v>8</v>
      </c>
      <c r="I10" s="4" t="s">
        <v>6</v>
      </c>
    </row>
    <row r="11" spans="1:9" x14ac:dyDescent="0.25">
      <c r="B11" s="1"/>
      <c r="C11" s="338"/>
      <c r="D11" s="338"/>
      <c r="E11" s="338"/>
      <c r="F11" s="338"/>
      <c r="G11" s="90"/>
      <c r="H11" s="90"/>
    </row>
    <row r="12" spans="1:9" x14ac:dyDescent="0.25">
      <c r="A12" s="4">
        <v>1</v>
      </c>
      <c r="B12" s="32" t="s">
        <v>421</v>
      </c>
      <c r="C12" s="89"/>
      <c r="D12" s="89"/>
      <c r="E12" s="89"/>
      <c r="F12" s="89"/>
      <c r="G12" s="90"/>
      <c r="H12" s="44"/>
      <c r="I12" s="4">
        <f>A12</f>
        <v>1</v>
      </c>
    </row>
    <row r="13" spans="1:9" x14ac:dyDescent="0.25">
      <c r="A13" s="4">
        <f>A12+1</f>
        <v>2</v>
      </c>
      <c r="B13" s="32" t="s">
        <v>422</v>
      </c>
      <c r="C13" s="35">
        <v>0</v>
      </c>
      <c r="D13" s="35"/>
      <c r="E13" s="35">
        <v>0</v>
      </c>
      <c r="F13" s="87"/>
      <c r="G13" s="35">
        <f>SUM(C13:E13)</f>
        <v>0</v>
      </c>
      <c r="H13" s="44" t="s">
        <v>2027</v>
      </c>
      <c r="I13" s="4">
        <f>I12+1</f>
        <v>2</v>
      </c>
    </row>
    <row r="14" spans="1:9" x14ac:dyDescent="0.25">
      <c r="A14" s="4">
        <f>A13+1</f>
        <v>3</v>
      </c>
      <c r="B14" s="32" t="s">
        <v>423</v>
      </c>
      <c r="C14" s="6">
        <v>0</v>
      </c>
      <c r="D14" s="6"/>
      <c r="E14" s="6">
        <v>0</v>
      </c>
      <c r="F14" s="6"/>
      <c r="G14" s="6">
        <f>SUM(C14:E14)</f>
        <v>0</v>
      </c>
      <c r="H14" s="44" t="str">
        <f>H13</f>
        <v>Not Applicable to 2025 Base Period</v>
      </c>
      <c r="I14" s="4">
        <f>I13+1</f>
        <v>3</v>
      </c>
    </row>
    <row r="15" spans="1:9" x14ac:dyDescent="0.25">
      <c r="A15" s="4">
        <f>A14+1</f>
        <v>4</v>
      </c>
      <c r="B15" s="809"/>
      <c r="C15" s="6">
        <v>0</v>
      </c>
      <c r="D15" s="6"/>
      <c r="E15" s="6">
        <v>0</v>
      </c>
      <c r="F15" s="6"/>
      <c r="G15" s="6">
        <f>SUM(C15:E15)</f>
        <v>0</v>
      </c>
      <c r="H15" s="808"/>
      <c r="I15" s="4">
        <f>I14+1</f>
        <v>4</v>
      </c>
    </row>
    <row r="16" spans="1:9" x14ac:dyDescent="0.25">
      <c r="A16" s="4">
        <f>A15+1</f>
        <v>5</v>
      </c>
      <c r="B16" s="32"/>
      <c r="C16" s="6">
        <v>0</v>
      </c>
      <c r="D16" s="6"/>
      <c r="E16" s="6">
        <v>0</v>
      </c>
      <c r="F16" s="6"/>
      <c r="G16" s="6">
        <f>SUM(C16:E16)</f>
        <v>0</v>
      </c>
      <c r="H16" s="44"/>
      <c r="I16" s="4">
        <f>I15+1</f>
        <v>5</v>
      </c>
    </row>
    <row r="17" spans="1:9" x14ac:dyDescent="0.25">
      <c r="A17" s="4">
        <f t="shared" ref="A17:A35" si="0">A16+1</f>
        <v>6</v>
      </c>
      <c r="C17" s="6">
        <v>0</v>
      </c>
      <c r="D17" s="6"/>
      <c r="E17" s="6">
        <v>0</v>
      </c>
      <c r="F17" s="6"/>
      <c r="G17" s="6">
        <f>SUM(C17:E17)</f>
        <v>0</v>
      </c>
      <c r="H17" s="44"/>
      <c r="I17" s="4">
        <f t="shared" ref="I17:I35" si="1">I16+1</f>
        <v>6</v>
      </c>
    </row>
    <row r="18" spans="1:9" ht="16.5" thickBot="1" x14ac:dyDescent="0.3">
      <c r="A18" s="4">
        <f t="shared" si="0"/>
        <v>7</v>
      </c>
      <c r="B18" s="339" t="s">
        <v>424</v>
      </c>
      <c r="C18" s="88">
        <f>SUM(C13:C17)</f>
        <v>0</v>
      </c>
      <c r="D18" s="43"/>
      <c r="E18" s="88">
        <f>SUM(E13:E17)</f>
        <v>0</v>
      </c>
      <c r="F18" s="6"/>
      <c r="G18" s="88">
        <f>SUM(G13:G17)</f>
        <v>0</v>
      </c>
      <c r="H18" s="44" t="s">
        <v>425</v>
      </c>
      <c r="I18" s="4">
        <f t="shared" si="1"/>
        <v>7</v>
      </c>
    </row>
    <row r="19" spans="1:9" ht="16.5" thickTop="1" x14ac:dyDescent="0.25">
      <c r="A19" s="4">
        <f t="shared" si="0"/>
        <v>8</v>
      </c>
      <c r="C19" s="84"/>
      <c r="D19" s="84"/>
      <c r="E19" s="84"/>
      <c r="F19" s="84"/>
      <c r="G19" s="84"/>
      <c r="H19" s="44"/>
      <c r="I19" s="4">
        <f t="shared" si="1"/>
        <v>8</v>
      </c>
    </row>
    <row r="20" spans="1:9" x14ac:dyDescent="0.25">
      <c r="A20" s="4">
        <f t="shared" si="0"/>
        <v>9</v>
      </c>
      <c r="B20" s="32" t="s">
        <v>426</v>
      </c>
      <c r="C20" s="89"/>
      <c r="D20" s="89"/>
      <c r="E20" s="89"/>
      <c r="F20" s="89"/>
      <c r="G20" s="90"/>
      <c r="H20" s="44"/>
      <c r="I20" s="4">
        <f t="shared" si="1"/>
        <v>9</v>
      </c>
    </row>
    <row r="21" spans="1:9" x14ac:dyDescent="0.25">
      <c r="A21" s="4">
        <f t="shared" si="0"/>
        <v>10</v>
      </c>
      <c r="B21" s="723" t="s">
        <v>423</v>
      </c>
      <c r="C21" s="35">
        <v>0</v>
      </c>
      <c r="D21" s="35"/>
      <c r="E21" s="35">
        <v>0</v>
      </c>
      <c r="F21" s="35"/>
      <c r="G21" s="35">
        <f>SUM(C21:E21)</f>
        <v>0</v>
      </c>
      <c r="H21" s="44" t="str">
        <f>H13</f>
        <v>Not Applicable to 2025 Base Period</v>
      </c>
      <c r="I21" s="4">
        <f t="shared" si="1"/>
        <v>10</v>
      </c>
    </row>
    <row r="22" spans="1:9" x14ac:dyDescent="0.25">
      <c r="A22" s="4">
        <f t="shared" si="0"/>
        <v>11</v>
      </c>
      <c r="C22" s="6">
        <v>0</v>
      </c>
      <c r="D22" s="6"/>
      <c r="E22" s="6">
        <v>0</v>
      </c>
      <c r="F22" s="6"/>
      <c r="G22" s="6">
        <f>SUM(C22:E22)</f>
        <v>0</v>
      </c>
      <c r="H22" s="44"/>
      <c r="I22" s="4">
        <f t="shared" si="1"/>
        <v>11</v>
      </c>
    </row>
    <row r="23" spans="1:9" x14ac:dyDescent="0.25">
      <c r="A23" s="4">
        <f t="shared" si="0"/>
        <v>12</v>
      </c>
      <c r="C23" s="6">
        <v>0</v>
      </c>
      <c r="D23" s="6"/>
      <c r="E23" s="6">
        <v>0</v>
      </c>
      <c r="F23" s="6"/>
      <c r="G23" s="6">
        <f>SUM(C23:E23)</f>
        <v>0</v>
      </c>
      <c r="H23" s="44"/>
      <c r="I23" s="4">
        <f t="shared" si="1"/>
        <v>12</v>
      </c>
    </row>
    <row r="24" spans="1:9" x14ac:dyDescent="0.25">
      <c r="A24" s="4">
        <f t="shared" si="0"/>
        <v>13</v>
      </c>
      <c r="C24" s="6">
        <v>0</v>
      </c>
      <c r="D24" s="6"/>
      <c r="E24" s="6">
        <v>0</v>
      </c>
      <c r="F24" s="6"/>
      <c r="G24" s="6">
        <f>SUM(C24:E24)</f>
        <v>0</v>
      </c>
      <c r="H24" s="44"/>
      <c r="I24" s="4">
        <f t="shared" si="1"/>
        <v>13</v>
      </c>
    </row>
    <row r="25" spans="1:9" ht="16.5" thickBot="1" x14ac:dyDescent="0.3">
      <c r="A25" s="4">
        <f t="shared" si="0"/>
        <v>14</v>
      </c>
      <c r="B25" s="339" t="s">
        <v>427</v>
      </c>
      <c r="C25" s="88">
        <f>SUM(C21:C24)</f>
        <v>0</v>
      </c>
      <c r="D25" s="43"/>
      <c r="E25" s="88">
        <f>SUM(E21:E24)</f>
        <v>0</v>
      </c>
      <c r="F25" s="6"/>
      <c r="G25" s="88">
        <f>SUM(G21:G24)</f>
        <v>0</v>
      </c>
      <c r="H25" s="44" t="s">
        <v>428</v>
      </c>
      <c r="I25" s="4">
        <f t="shared" si="1"/>
        <v>14</v>
      </c>
    </row>
    <row r="26" spans="1:9" ht="16.5" thickTop="1" x14ac:dyDescent="0.25">
      <c r="A26" s="4">
        <f t="shared" si="0"/>
        <v>15</v>
      </c>
      <c r="H26" s="44"/>
      <c r="I26" s="4">
        <f t="shared" si="1"/>
        <v>15</v>
      </c>
    </row>
    <row r="27" spans="1:9" x14ac:dyDescent="0.25">
      <c r="A27" s="4">
        <f t="shared" si="0"/>
        <v>16</v>
      </c>
      <c r="B27" s="32" t="s">
        <v>429</v>
      </c>
      <c r="C27" s="89"/>
      <c r="D27" s="89"/>
      <c r="E27" s="89"/>
      <c r="F27" s="89"/>
      <c r="G27" s="90"/>
      <c r="H27" s="44"/>
      <c r="I27" s="4">
        <f t="shared" si="1"/>
        <v>16</v>
      </c>
    </row>
    <row r="28" spans="1:9" x14ac:dyDescent="0.25">
      <c r="A28" s="4">
        <f t="shared" si="0"/>
        <v>17</v>
      </c>
      <c r="B28" s="32" t="s">
        <v>422</v>
      </c>
      <c r="C28" s="35">
        <v>0</v>
      </c>
      <c r="D28" s="35"/>
      <c r="E28" s="35">
        <v>0</v>
      </c>
      <c r="F28" s="87"/>
      <c r="G28" s="35">
        <f>SUM(C28:E28)</f>
        <v>0</v>
      </c>
      <c r="H28" s="44" t="str">
        <f>H13</f>
        <v>Not Applicable to 2025 Base Period</v>
      </c>
      <c r="I28" s="4">
        <f t="shared" si="1"/>
        <v>17</v>
      </c>
    </row>
    <row r="29" spans="1:9" x14ac:dyDescent="0.25">
      <c r="A29" s="4">
        <f t="shared" si="0"/>
        <v>18</v>
      </c>
      <c r="B29" s="32"/>
      <c r="C29" s="6">
        <v>0</v>
      </c>
      <c r="D29" s="6"/>
      <c r="E29" s="6">
        <v>0</v>
      </c>
      <c r="F29" s="6"/>
      <c r="G29" s="6">
        <f>SUM(C29:E29)</f>
        <v>0</v>
      </c>
      <c r="H29" s="4"/>
      <c r="I29" s="4">
        <f t="shared" si="1"/>
        <v>18</v>
      </c>
    </row>
    <row r="30" spans="1:9" x14ac:dyDescent="0.25">
      <c r="A30" s="4">
        <f t="shared" si="0"/>
        <v>19</v>
      </c>
      <c r="B30" s="32"/>
      <c r="C30" s="6">
        <v>0</v>
      </c>
      <c r="D30" s="6"/>
      <c r="E30" s="6">
        <v>0</v>
      </c>
      <c r="F30" s="6"/>
      <c r="G30" s="6">
        <f>SUM(C30:E30)</f>
        <v>0</v>
      </c>
      <c r="H30" s="6"/>
      <c r="I30" s="4">
        <f t="shared" si="1"/>
        <v>19</v>
      </c>
    </row>
    <row r="31" spans="1:9" x14ac:dyDescent="0.25">
      <c r="A31" s="4">
        <f t="shared" si="0"/>
        <v>20</v>
      </c>
      <c r="B31" s="32"/>
      <c r="C31" s="6">
        <v>0</v>
      </c>
      <c r="D31" s="6"/>
      <c r="E31" s="6">
        <v>0</v>
      </c>
      <c r="F31" s="6"/>
      <c r="G31" s="6">
        <f>SUM(C31:E31)</f>
        <v>0</v>
      </c>
      <c r="H31" s="6"/>
      <c r="I31" s="4">
        <f t="shared" si="1"/>
        <v>20</v>
      </c>
    </row>
    <row r="32" spans="1:9" x14ac:dyDescent="0.25">
      <c r="A32" s="4">
        <f t="shared" si="0"/>
        <v>21</v>
      </c>
      <c r="B32" s="32"/>
      <c r="C32" s="6">
        <v>0</v>
      </c>
      <c r="D32" s="6"/>
      <c r="E32" s="6">
        <v>0</v>
      </c>
      <c r="F32" s="6"/>
      <c r="G32" s="6">
        <f>SUM(C32:E32)</f>
        <v>0</v>
      </c>
      <c r="H32" s="6"/>
      <c r="I32" s="4">
        <f t="shared" si="1"/>
        <v>21</v>
      </c>
    </row>
    <row r="33" spans="1:9" ht="16.5" thickBot="1" x14ac:dyDescent="0.3">
      <c r="A33" s="4">
        <f t="shared" si="0"/>
        <v>22</v>
      </c>
      <c r="B33" s="339" t="s">
        <v>430</v>
      </c>
      <c r="C33" s="88">
        <f>SUM(C28:C32)</f>
        <v>0</v>
      </c>
      <c r="D33" s="43"/>
      <c r="E33" s="88">
        <f>SUM(E28:E32)</f>
        <v>0</v>
      </c>
      <c r="F33" s="6"/>
      <c r="G33" s="88">
        <f>SUM(G28:G32)</f>
        <v>0</v>
      </c>
      <c r="H33" s="44" t="s">
        <v>431</v>
      </c>
      <c r="I33" s="4">
        <f t="shared" si="1"/>
        <v>22</v>
      </c>
    </row>
    <row r="34" spans="1:9" ht="16.5" thickTop="1" x14ac:dyDescent="0.25">
      <c r="A34" s="4">
        <f t="shared" si="0"/>
        <v>23</v>
      </c>
      <c r="H34" s="44"/>
      <c r="I34" s="4">
        <f t="shared" si="1"/>
        <v>23</v>
      </c>
    </row>
    <row r="35" spans="1:9" ht="16.5" thickBot="1" x14ac:dyDescent="0.3">
      <c r="A35" s="4">
        <f t="shared" si="0"/>
        <v>24</v>
      </c>
      <c r="B35" s="1" t="s">
        <v>915</v>
      </c>
      <c r="C35" s="88">
        <f>+C18+C25+C33</f>
        <v>0</v>
      </c>
      <c r="D35" s="43"/>
      <c r="E35" s="88">
        <f>+E18+E25+E33</f>
        <v>0</v>
      </c>
      <c r="G35" s="88">
        <f>+G18+G25+G33</f>
        <v>0</v>
      </c>
      <c r="H35" s="44" t="s">
        <v>433</v>
      </c>
      <c r="I35" s="4">
        <f t="shared" si="1"/>
        <v>24</v>
      </c>
    </row>
    <row r="36" spans="1:9" ht="16.5" thickTop="1" x14ac:dyDescent="0.25">
      <c r="B36" s="1"/>
      <c r="C36" s="43"/>
      <c r="D36" s="43"/>
      <c r="E36" s="43"/>
      <c r="G36" s="43"/>
      <c r="H36" s="44"/>
    </row>
    <row r="38" spans="1:9" ht="18.75" x14ac:dyDescent="0.25">
      <c r="A38" s="252">
        <v>1</v>
      </c>
      <c r="B38" s="31" t="s">
        <v>434</v>
      </c>
    </row>
    <row r="39" spans="1:9" ht="18.75" x14ac:dyDescent="0.25">
      <c r="A39" s="252"/>
    </row>
    <row r="40" spans="1:9" ht="18.75" x14ac:dyDescent="0.25">
      <c r="A40" s="252"/>
    </row>
  </sheetData>
  <mergeCells count="5">
    <mergeCell ref="B2:H2"/>
    <mergeCell ref="B3:H3"/>
    <mergeCell ref="B4:H4"/>
    <mergeCell ref="B5:H5"/>
    <mergeCell ref="B6:H6"/>
  </mergeCells>
  <printOptions horizontalCentered="1"/>
  <pageMargins left="0.5" right="0.5" top="0.5" bottom="0.5" header="0.25" footer="0.25"/>
  <pageSetup scale="67" orientation="landscape" r:id="rId1"/>
  <headerFooter scaleWithDoc="0">
    <oddFooter>&amp;C&amp;"Times New Roman,Regular"&amp;10&amp;A</oddFooter>
  </headerFooter>
  <customProperties>
    <customPr name="_pios_id" r:id="rId2"/>
  </customPropertie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H30"/>
  <sheetViews>
    <sheetView zoomScale="80" zoomScaleNormal="80" workbookViewId="0">
      <selection activeCell="B35" sqref="B35"/>
    </sheetView>
  </sheetViews>
  <sheetFormatPr defaultColWidth="8.7109375" defaultRowHeight="15.75" x14ac:dyDescent="0.25"/>
  <cols>
    <col min="1" max="1" width="5.28515625" style="4" customWidth="1"/>
    <col min="2" max="2" width="63.42578125" style="31" customWidth="1"/>
    <col min="3" max="3" width="25.5703125" style="31" bestFit="1" customWidth="1"/>
    <col min="4" max="4" width="1.5703125" style="31" customWidth="1"/>
    <col min="5" max="5" width="16.7109375" style="31" customWidth="1"/>
    <col min="6" max="6" width="1.5703125" style="31" customWidth="1"/>
    <col min="7" max="7" width="38.28515625" style="31" customWidth="1"/>
    <col min="8" max="8" width="5.28515625" style="31" customWidth="1"/>
    <col min="9" max="9" width="8.7109375" style="31"/>
    <col min="10" max="10" width="20.42578125" style="31" bestFit="1" customWidth="1"/>
    <col min="11" max="16384" width="8.7109375" style="31"/>
  </cols>
  <sheetData>
    <row r="1" spans="1:8" x14ac:dyDescent="0.25">
      <c r="E1" s="70"/>
      <c r="F1" s="70"/>
      <c r="G1" s="4"/>
      <c r="H1" s="4"/>
    </row>
    <row r="2" spans="1:8" x14ac:dyDescent="0.25">
      <c r="B2" s="1316" t="s">
        <v>0</v>
      </c>
      <c r="C2" s="1316"/>
      <c r="D2" s="1316"/>
      <c r="E2" s="1316"/>
      <c r="F2" s="1316"/>
      <c r="G2" s="1316"/>
      <c r="H2" s="4"/>
    </row>
    <row r="3" spans="1:8" x14ac:dyDescent="0.25">
      <c r="B3" s="1316" t="s">
        <v>916</v>
      </c>
      <c r="C3" s="1316"/>
      <c r="D3" s="1316"/>
      <c r="E3" s="1316"/>
      <c r="F3" s="1316"/>
      <c r="G3" s="1316"/>
      <c r="H3" s="4"/>
    </row>
    <row r="4" spans="1:8" x14ac:dyDescent="0.25">
      <c r="B4" s="1316" t="s">
        <v>917</v>
      </c>
      <c r="C4" s="1316"/>
      <c r="D4" s="1316"/>
      <c r="E4" s="1316"/>
      <c r="F4" s="1316"/>
      <c r="G4" s="1316"/>
      <c r="H4" s="4"/>
    </row>
    <row r="5" spans="1:8" x14ac:dyDescent="0.25">
      <c r="B5" s="1318" t="str">
        <f>'Stmt AD'!B5</f>
        <v>Base Period &amp; True-Up Period 12 - Months Ending December 31, 2025</v>
      </c>
      <c r="C5" s="1318"/>
      <c r="D5" s="1318"/>
      <c r="E5" s="1318"/>
      <c r="F5" s="1318"/>
      <c r="G5" s="1318"/>
      <c r="H5" s="4"/>
    </row>
    <row r="6" spans="1:8" x14ac:dyDescent="0.25">
      <c r="B6" s="1312" t="s">
        <v>4</v>
      </c>
      <c r="C6" s="1313"/>
      <c r="D6" s="1313"/>
      <c r="E6" s="1313"/>
      <c r="F6" s="1313"/>
      <c r="G6" s="1313"/>
      <c r="H6" s="4"/>
    </row>
    <row r="7" spans="1:8" x14ac:dyDescent="0.25">
      <c r="B7" s="4"/>
      <c r="C7" s="4"/>
      <c r="D7" s="4"/>
      <c r="E7" s="4"/>
      <c r="F7" s="4"/>
      <c r="G7" s="4"/>
      <c r="H7" s="4"/>
    </row>
    <row r="8" spans="1:8" x14ac:dyDescent="0.25">
      <c r="A8" s="4" t="s">
        <v>5</v>
      </c>
      <c r="B8" s="217"/>
      <c r="C8" s="4" t="s">
        <v>210</v>
      </c>
      <c r="D8" s="217"/>
      <c r="E8" s="217"/>
      <c r="F8" s="217"/>
      <c r="G8" s="4"/>
      <c r="H8" s="4" t="s">
        <v>5</v>
      </c>
    </row>
    <row r="9" spans="1:8" x14ac:dyDescent="0.25">
      <c r="A9" s="4" t="s">
        <v>6</v>
      </c>
      <c r="B9" s="217"/>
      <c r="C9" s="848" t="s">
        <v>212</v>
      </c>
      <c r="D9" s="217"/>
      <c r="E9" s="849" t="s">
        <v>7</v>
      </c>
      <c r="F9" s="217"/>
      <c r="G9" s="848" t="s">
        <v>8</v>
      </c>
      <c r="H9" s="4" t="s">
        <v>6</v>
      </c>
    </row>
    <row r="10" spans="1:8" x14ac:dyDescent="0.25">
      <c r="B10" s="4"/>
      <c r="C10" s="4"/>
      <c r="D10" s="4"/>
      <c r="E10" s="4"/>
      <c r="F10" s="4"/>
      <c r="G10" s="978"/>
      <c r="H10" s="4"/>
    </row>
    <row r="11" spans="1:8" ht="18.75" x14ac:dyDescent="0.25">
      <c r="A11" s="4">
        <v>1</v>
      </c>
      <c r="B11" s="31" t="s">
        <v>918</v>
      </c>
      <c r="C11" s="4" t="s">
        <v>919</v>
      </c>
      <c r="E11" s="40">
        <v>0</v>
      </c>
      <c r="F11" s="217"/>
      <c r="G11" s="4"/>
      <c r="H11" s="4">
        <f>A11</f>
        <v>1</v>
      </c>
    </row>
    <row r="12" spans="1:8" x14ac:dyDescent="0.25">
      <c r="A12" s="4">
        <f>+A11+1</f>
        <v>2</v>
      </c>
      <c r="E12" s="38"/>
      <c r="F12" s="217"/>
      <c r="G12" s="4"/>
      <c r="H12" s="4">
        <f>+H11+1</f>
        <v>2</v>
      </c>
    </row>
    <row r="13" spans="1:8" x14ac:dyDescent="0.25">
      <c r="A13" s="4">
        <f t="shared" ref="A13:A25" si="0">+A12+1</f>
        <v>3</v>
      </c>
      <c r="B13" s="31" t="s">
        <v>920</v>
      </c>
      <c r="C13" s="4" t="s">
        <v>921</v>
      </c>
      <c r="E13" s="42">
        <v>0</v>
      </c>
      <c r="F13" s="217"/>
      <c r="G13" s="4"/>
      <c r="H13" s="4">
        <f t="shared" ref="H13:H25" si="1">+H12+1</f>
        <v>3</v>
      </c>
    </row>
    <row r="14" spans="1:8" x14ac:dyDescent="0.25">
      <c r="A14" s="4">
        <f t="shared" si="0"/>
        <v>4</v>
      </c>
      <c r="E14" s="38"/>
      <c r="F14" s="217"/>
      <c r="G14" s="4"/>
      <c r="H14" s="4">
        <f t="shared" si="1"/>
        <v>4</v>
      </c>
    </row>
    <row r="15" spans="1:8" x14ac:dyDescent="0.25">
      <c r="A15" s="4">
        <f t="shared" si="0"/>
        <v>5</v>
      </c>
      <c r="B15" s="31" t="s">
        <v>922</v>
      </c>
      <c r="C15" s="4" t="s">
        <v>923</v>
      </c>
      <c r="E15" s="42">
        <f>'AU-1'!X15/1000</f>
        <v>-4211.2950000000001</v>
      </c>
      <c r="F15" s="217"/>
      <c r="G15" s="4" t="s">
        <v>1457</v>
      </c>
      <c r="H15" s="4">
        <f t="shared" si="1"/>
        <v>5</v>
      </c>
    </row>
    <row r="16" spans="1:8" x14ac:dyDescent="0.25">
      <c r="A16" s="4">
        <f t="shared" si="0"/>
        <v>6</v>
      </c>
      <c r="E16" s="38"/>
      <c r="F16" s="217"/>
      <c r="G16" s="4"/>
      <c r="H16" s="4">
        <f t="shared" si="1"/>
        <v>6</v>
      </c>
    </row>
    <row r="17" spans="1:8" x14ac:dyDescent="0.25">
      <c r="A17" s="4">
        <f t="shared" si="0"/>
        <v>7</v>
      </c>
      <c r="B17" s="31" t="s">
        <v>924</v>
      </c>
      <c r="C17" s="4" t="s">
        <v>925</v>
      </c>
      <c r="E17" s="42">
        <v>0</v>
      </c>
      <c r="F17" s="217"/>
      <c r="G17" s="4"/>
      <c r="H17" s="4">
        <f t="shared" si="1"/>
        <v>7</v>
      </c>
    </row>
    <row r="18" spans="1:8" x14ac:dyDescent="0.25">
      <c r="A18" s="4">
        <f t="shared" si="0"/>
        <v>8</v>
      </c>
      <c r="E18" s="38"/>
      <c r="F18" s="217"/>
      <c r="G18" s="4"/>
      <c r="H18" s="4">
        <f t="shared" si="1"/>
        <v>8</v>
      </c>
    </row>
    <row r="19" spans="1:8" x14ac:dyDescent="0.25">
      <c r="A19" s="4">
        <f t="shared" si="0"/>
        <v>9</v>
      </c>
      <c r="B19" s="31" t="s">
        <v>926</v>
      </c>
      <c r="C19" s="4" t="s">
        <v>927</v>
      </c>
      <c r="E19" s="42">
        <f>('AU-1'!X31/1000)</f>
        <v>-6837.3130000000001</v>
      </c>
      <c r="F19" s="217"/>
      <c r="G19" s="4" t="s">
        <v>1842</v>
      </c>
      <c r="H19" s="4">
        <f t="shared" si="1"/>
        <v>9</v>
      </c>
    </row>
    <row r="20" spans="1:8" x14ac:dyDescent="0.25">
      <c r="A20" s="4">
        <f t="shared" si="0"/>
        <v>10</v>
      </c>
      <c r="E20" s="38"/>
      <c r="F20" s="217"/>
      <c r="G20" s="4"/>
      <c r="H20" s="4">
        <f t="shared" si="1"/>
        <v>10</v>
      </c>
    </row>
    <row r="21" spans="1:8" x14ac:dyDescent="0.25">
      <c r="A21" s="4">
        <f t="shared" si="0"/>
        <v>11</v>
      </c>
      <c r="B21" s="31" t="s">
        <v>928</v>
      </c>
      <c r="E21" s="905">
        <f>'AU-1'!X36/1000</f>
        <v>-820.56899999999996</v>
      </c>
      <c r="F21" s="217"/>
      <c r="G21" s="4" t="s">
        <v>1843</v>
      </c>
      <c r="H21" s="4">
        <f t="shared" si="1"/>
        <v>11</v>
      </c>
    </row>
    <row r="22" spans="1:8" x14ac:dyDescent="0.25">
      <c r="A22" s="4">
        <f t="shared" si="0"/>
        <v>12</v>
      </c>
      <c r="E22" s="38"/>
      <c r="F22" s="217"/>
      <c r="G22" s="4"/>
      <c r="H22" s="4">
        <f t="shared" si="1"/>
        <v>12</v>
      </c>
    </row>
    <row r="23" spans="1:8" ht="16.5" thickBot="1" x14ac:dyDescent="0.3">
      <c r="A23" s="4">
        <f t="shared" si="0"/>
        <v>13</v>
      </c>
      <c r="B23" s="31" t="s">
        <v>929</v>
      </c>
      <c r="E23" s="118">
        <f>SUM(E11:E21)</f>
        <v>-11869.177</v>
      </c>
      <c r="F23" s="217"/>
      <c r="G23" s="4" t="s">
        <v>621</v>
      </c>
      <c r="H23" s="4">
        <f t="shared" si="1"/>
        <v>13</v>
      </c>
    </row>
    <row r="24" spans="1:8" ht="16.5" thickTop="1" x14ac:dyDescent="0.25">
      <c r="A24" s="4">
        <f t="shared" si="0"/>
        <v>14</v>
      </c>
      <c r="E24" s="70" t="s">
        <v>1</v>
      </c>
      <c r="F24" s="217"/>
      <c r="G24" s="4"/>
      <c r="H24" s="4">
        <f t="shared" si="1"/>
        <v>14</v>
      </c>
    </row>
    <row r="25" spans="1:8" ht="16.5" thickBot="1" x14ac:dyDescent="0.3">
      <c r="A25" s="4">
        <f t="shared" si="0"/>
        <v>15</v>
      </c>
      <c r="B25" s="31" t="s">
        <v>930</v>
      </c>
      <c r="E25" s="78">
        <v>0</v>
      </c>
      <c r="F25" s="217"/>
      <c r="G25" s="4" t="s">
        <v>931</v>
      </c>
      <c r="H25" s="4">
        <f t="shared" si="1"/>
        <v>15</v>
      </c>
    </row>
    <row r="26" spans="1:8" ht="16.5" thickTop="1" x14ac:dyDescent="0.25">
      <c r="F26" s="217"/>
    </row>
    <row r="27" spans="1:8" x14ac:dyDescent="0.25">
      <c r="F27" s="217"/>
    </row>
    <row r="28" spans="1:8" ht="18.75" x14ac:dyDescent="0.25">
      <c r="A28" s="265">
        <v>1</v>
      </c>
      <c r="B28" s="31" t="s">
        <v>932</v>
      </c>
    </row>
    <row r="29" spans="1:8" ht="18.75" x14ac:dyDescent="0.25">
      <c r="A29" s="265"/>
      <c r="B29" s="31" t="s">
        <v>933</v>
      </c>
    </row>
    <row r="30" spans="1:8" ht="18.75" x14ac:dyDescent="0.25">
      <c r="B30" s="31" t="s">
        <v>2129</v>
      </c>
    </row>
  </sheetData>
  <mergeCells count="5">
    <mergeCell ref="B2:G2"/>
    <mergeCell ref="B3:G3"/>
    <mergeCell ref="B4:G4"/>
    <mergeCell ref="B5:G5"/>
    <mergeCell ref="B6:G6"/>
  </mergeCells>
  <printOptions horizontalCentered="1"/>
  <pageMargins left="0.5" right="0.5" top="0.5" bottom="0.5" header="0.25" footer="0.25"/>
  <pageSetup scale="61" orientation="portrait" r:id="rId1"/>
  <headerFooter scaleWithDoc="0">
    <oddFooter>&amp;C&amp;"Times New Roman,Regular"&amp;10&amp;A</oddFooter>
  </headerFooter>
  <customProperties>
    <customPr name="_pios_id" r:id="rId2"/>
  </customPropertie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AI55"/>
  <sheetViews>
    <sheetView zoomScale="70" zoomScaleNormal="70" workbookViewId="0">
      <selection activeCell="W9" sqref="W9"/>
    </sheetView>
  </sheetViews>
  <sheetFormatPr defaultColWidth="9.28515625" defaultRowHeight="15.75" x14ac:dyDescent="0.25"/>
  <cols>
    <col min="1" max="1" width="5.7109375" style="31" customWidth="1"/>
    <col min="2" max="2" width="5.28515625" style="4" customWidth="1"/>
    <col min="3" max="4" width="11.42578125" style="31" customWidth="1"/>
    <col min="5" max="5" width="50.28515625" style="31" customWidth="1"/>
    <col min="6" max="12" width="15.5703125" style="31" customWidth="1"/>
    <col min="13" max="15" width="5.28515625" style="4" customWidth="1"/>
    <col min="16" max="17" width="11.42578125" style="31" customWidth="1"/>
    <col min="18" max="18" width="51.5703125" style="31" customWidth="1"/>
    <col min="19" max="23" width="15.5703125" style="31" customWidth="1"/>
    <col min="24" max="24" width="18.5703125" style="31" customWidth="1"/>
    <col min="25" max="25" width="5.28515625" style="4" customWidth="1"/>
    <col min="26" max="26" width="5.7109375" style="31" customWidth="1"/>
    <col min="27" max="34" width="9.28515625" style="31"/>
    <col min="35" max="35" width="9.7109375" style="31" bestFit="1" customWidth="1"/>
    <col min="36" max="16384" width="9.28515625" style="31"/>
  </cols>
  <sheetData>
    <row r="2" spans="2:25" s="1" customFormat="1" x14ac:dyDescent="0.25">
      <c r="B2" s="217"/>
      <c r="C2" s="1316" t="s">
        <v>0</v>
      </c>
      <c r="D2" s="1316"/>
      <c r="E2" s="1316"/>
      <c r="F2" s="1316"/>
      <c r="G2" s="1316"/>
      <c r="H2" s="1316"/>
      <c r="I2" s="1316"/>
      <c r="J2" s="1316"/>
      <c r="K2" s="1316"/>
      <c r="L2" s="1316"/>
      <c r="M2" s="217"/>
      <c r="N2" s="217"/>
      <c r="O2" s="217"/>
      <c r="P2" s="1316" t="str">
        <f>C2</f>
        <v>SAN DIEGO GAS &amp; ELECTRIC COMPANY</v>
      </c>
      <c r="Q2" s="1316"/>
      <c r="R2" s="1316"/>
      <c r="S2" s="1316"/>
      <c r="T2" s="1316"/>
      <c r="U2" s="1316"/>
      <c r="V2" s="1316"/>
      <c r="W2" s="1316"/>
      <c r="X2" s="1316"/>
      <c r="Y2" s="217"/>
    </row>
    <row r="3" spans="2:25" s="1" customFormat="1" x14ac:dyDescent="0.25">
      <c r="B3" s="217"/>
      <c r="C3" s="1316" t="s">
        <v>916</v>
      </c>
      <c r="D3" s="1316"/>
      <c r="E3" s="1316"/>
      <c r="F3" s="1316"/>
      <c r="G3" s="1316"/>
      <c r="H3" s="1316"/>
      <c r="I3" s="1316"/>
      <c r="J3" s="1316"/>
      <c r="K3" s="1316"/>
      <c r="L3" s="1316"/>
      <c r="M3" s="217"/>
      <c r="N3" s="217"/>
      <c r="O3" s="217"/>
      <c r="P3" s="1316" t="str">
        <f>C3</f>
        <v>Statement AU</v>
      </c>
      <c r="Q3" s="1316"/>
      <c r="R3" s="1316"/>
      <c r="S3" s="1316"/>
      <c r="T3" s="1316"/>
      <c r="U3" s="1316"/>
      <c r="V3" s="1316"/>
      <c r="W3" s="1316"/>
      <c r="X3" s="1316"/>
      <c r="Y3" s="217"/>
    </row>
    <row r="4" spans="2:25" s="1" customFormat="1" x14ac:dyDescent="0.25">
      <c r="B4" s="217"/>
      <c r="C4" s="1316" t="s">
        <v>917</v>
      </c>
      <c r="D4" s="1316"/>
      <c r="E4" s="1316"/>
      <c r="F4" s="1316"/>
      <c r="G4" s="1316"/>
      <c r="H4" s="1316"/>
      <c r="I4" s="1316"/>
      <c r="J4" s="1316"/>
      <c r="K4" s="1316"/>
      <c r="L4" s="1316"/>
      <c r="M4" s="217"/>
      <c r="N4" s="217"/>
      <c r="O4" s="217"/>
      <c r="P4" s="1316" t="str">
        <f>C4</f>
        <v>Revenue Credits</v>
      </c>
      <c r="Q4" s="1316"/>
      <c r="R4" s="1316"/>
      <c r="S4" s="1316"/>
      <c r="T4" s="1316"/>
      <c r="U4" s="1316"/>
      <c r="V4" s="1316"/>
      <c r="W4" s="1316"/>
      <c r="X4" s="1316"/>
      <c r="Y4" s="217"/>
    </row>
    <row r="5" spans="2:25" s="1" customFormat="1" x14ac:dyDescent="0.25">
      <c r="B5" s="217"/>
      <c r="C5" s="1316" t="s">
        <v>2043</v>
      </c>
      <c r="D5" s="1316"/>
      <c r="E5" s="1316"/>
      <c r="F5" s="1316"/>
      <c r="G5" s="1316"/>
      <c r="H5" s="1316"/>
      <c r="I5" s="1316"/>
      <c r="J5" s="1316"/>
      <c r="K5" s="1316"/>
      <c r="L5" s="1316"/>
      <c r="M5" s="217"/>
      <c r="N5" s="217"/>
      <c r="O5" s="217"/>
      <c r="P5" s="1316" t="str">
        <f>C5</f>
        <v>12 Months Ending December 31, 2025</v>
      </c>
      <c r="Q5" s="1316"/>
      <c r="R5" s="1316"/>
      <c r="S5" s="1316"/>
      <c r="T5" s="1316"/>
      <c r="U5" s="1316"/>
      <c r="V5" s="1316"/>
      <c r="W5" s="1316"/>
      <c r="X5" s="1316"/>
      <c r="Y5" s="217"/>
    </row>
    <row r="6" spans="2:25" ht="16.5" thickBot="1" x14ac:dyDescent="0.3">
      <c r="X6" s="4"/>
    </row>
    <row r="7" spans="2:25" s="1" customFormat="1" x14ac:dyDescent="0.25">
      <c r="B7" s="4" t="s">
        <v>5</v>
      </c>
      <c r="C7" s="454" t="s">
        <v>934</v>
      </c>
      <c r="D7" s="455" t="s">
        <v>453</v>
      </c>
      <c r="E7" s="456"/>
      <c r="F7" s="455" t="s">
        <v>187</v>
      </c>
      <c r="G7" s="457" t="s">
        <v>188</v>
      </c>
      <c r="H7" s="457" t="s">
        <v>189</v>
      </c>
      <c r="I7" s="457" t="s">
        <v>935</v>
      </c>
      <c r="J7" s="457" t="s">
        <v>936</v>
      </c>
      <c r="K7" s="457" t="s">
        <v>937</v>
      </c>
      <c r="L7" s="458" t="s">
        <v>938</v>
      </c>
      <c r="M7" s="4" t="s">
        <v>5</v>
      </c>
      <c r="N7" s="4"/>
      <c r="O7" s="4" t="str">
        <f t="shared" ref="O7:Q8" si="0">B7</f>
        <v>Line</v>
      </c>
      <c r="P7" s="454" t="str">
        <f t="shared" si="0"/>
        <v>SAP</v>
      </c>
      <c r="Q7" s="455" t="str">
        <f t="shared" si="0"/>
        <v>FERC</v>
      </c>
      <c r="R7" s="456"/>
      <c r="S7" s="457" t="s">
        <v>939</v>
      </c>
      <c r="T7" s="457" t="s">
        <v>940</v>
      </c>
      <c r="U7" s="457" t="s">
        <v>941</v>
      </c>
      <c r="V7" s="457" t="s">
        <v>942</v>
      </c>
      <c r="W7" s="457" t="s">
        <v>943</v>
      </c>
      <c r="X7" s="459" t="s">
        <v>944</v>
      </c>
      <c r="Y7" s="4" t="str">
        <f>M7</f>
        <v>Line</v>
      </c>
    </row>
    <row r="8" spans="2:25" s="1" customFormat="1" ht="16.5" thickBot="1" x14ac:dyDescent="0.3">
      <c r="B8" s="4" t="s">
        <v>6</v>
      </c>
      <c r="C8" s="595" t="s">
        <v>945</v>
      </c>
      <c r="D8" s="889" t="s">
        <v>945</v>
      </c>
      <c r="E8" s="596" t="s">
        <v>946</v>
      </c>
      <c r="F8" s="636" t="s">
        <v>2041</v>
      </c>
      <c r="G8" s="1050" t="s">
        <v>2044</v>
      </c>
      <c r="H8" s="636" t="s">
        <v>2045</v>
      </c>
      <c r="I8" s="636" t="s">
        <v>2046</v>
      </c>
      <c r="J8" s="636" t="s">
        <v>2047</v>
      </c>
      <c r="K8" s="636" t="s">
        <v>2048</v>
      </c>
      <c r="L8" s="637" t="s">
        <v>2049</v>
      </c>
      <c r="M8" s="4" t="s">
        <v>947</v>
      </c>
      <c r="N8" s="4"/>
      <c r="O8" s="4" t="str">
        <f t="shared" si="0"/>
        <v>No.</v>
      </c>
      <c r="P8" s="595" t="str">
        <f t="shared" si="0"/>
        <v>Account #</v>
      </c>
      <c r="Q8" s="889" t="str">
        <f t="shared" si="0"/>
        <v>Account #</v>
      </c>
      <c r="R8" s="596" t="str">
        <f>E8</f>
        <v>SAP Account Description</v>
      </c>
      <c r="S8" s="636" t="s">
        <v>2050</v>
      </c>
      <c r="T8" s="636" t="s">
        <v>2051</v>
      </c>
      <c r="U8" s="636" t="s">
        <v>2052</v>
      </c>
      <c r="V8" s="636" t="s">
        <v>2053</v>
      </c>
      <c r="W8" s="636" t="s">
        <v>2042</v>
      </c>
      <c r="X8" s="598" t="s">
        <v>180</v>
      </c>
      <c r="Y8" s="4" t="str">
        <f t="shared" ref="Y8" si="1">M8</f>
        <v>No</v>
      </c>
    </row>
    <row r="9" spans="2:25" x14ac:dyDescent="0.25">
      <c r="C9" s="460"/>
      <c r="D9" s="384"/>
      <c r="E9" s="461"/>
      <c r="F9" s="2"/>
      <c r="G9" s="890"/>
      <c r="H9" s="2"/>
      <c r="I9" s="890"/>
      <c r="J9" s="2"/>
      <c r="K9" s="890"/>
      <c r="L9" s="572"/>
      <c r="P9" s="460"/>
      <c r="Q9" s="384"/>
      <c r="R9" s="461"/>
      <c r="S9" s="890"/>
      <c r="T9" s="2"/>
      <c r="U9" s="890"/>
      <c r="V9" s="2"/>
      <c r="W9" s="890"/>
      <c r="X9" s="638"/>
    </row>
    <row r="10" spans="2:25" x14ac:dyDescent="0.25">
      <c r="B10" s="4">
        <v>1</v>
      </c>
      <c r="C10" s="374">
        <v>4370119</v>
      </c>
      <c r="D10" s="384" t="s">
        <v>1454</v>
      </c>
      <c r="E10" s="644" t="s">
        <v>1456</v>
      </c>
      <c r="F10" s="119">
        <v>0</v>
      </c>
      <c r="G10" s="119">
        <v>0</v>
      </c>
      <c r="H10" s="119">
        <v>0</v>
      </c>
      <c r="I10" s="119">
        <v>0</v>
      </c>
      <c r="J10" s="119">
        <v>0</v>
      </c>
      <c r="K10" s="119">
        <v>0</v>
      </c>
      <c r="L10" s="592">
        <v>0</v>
      </c>
      <c r="M10" s="106">
        <v>1</v>
      </c>
      <c r="N10" s="106"/>
      <c r="O10" s="106">
        <v>1</v>
      </c>
      <c r="P10" s="374">
        <v>4370119</v>
      </c>
      <c r="Q10" s="384" t="s">
        <v>1454</v>
      </c>
      <c r="R10" s="644" t="s">
        <v>1456</v>
      </c>
      <c r="S10" s="119">
        <v>0</v>
      </c>
      <c r="T10" s="119">
        <v>0</v>
      </c>
      <c r="U10" s="119">
        <v>0</v>
      </c>
      <c r="V10" s="119">
        <v>0</v>
      </c>
      <c r="W10" s="119">
        <v>0</v>
      </c>
      <c r="X10" s="592">
        <f>SUM(F10:L10,S10:W10)</f>
        <v>0</v>
      </c>
      <c r="Y10" s="490">
        <v>1</v>
      </c>
    </row>
    <row r="11" spans="2:25" s="2" customFormat="1" x14ac:dyDescent="0.25">
      <c r="B11" s="106">
        <f>B10+1</f>
        <v>2</v>
      </c>
      <c r="C11" s="374" t="s">
        <v>948</v>
      </c>
      <c r="D11" s="384">
        <v>454</v>
      </c>
      <c r="E11" s="873" t="s">
        <v>530</v>
      </c>
      <c r="F11" s="124">
        <v>-13533</v>
      </c>
      <c r="G11" s="124">
        <v>-28983</v>
      </c>
      <c r="H11" s="124">
        <v>-21257</v>
      </c>
      <c r="I11" s="124">
        <v>-21258</v>
      </c>
      <c r="J11" s="124">
        <v>-21595</v>
      </c>
      <c r="K11" s="124">
        <v>-21636</v>
      </c>
      <c r="L11" s="573">
        <v>-23694</v>
      </c>
      <c r="M11" s="106">
        <f>B11</f>
        <v>2</v>
      </c>
      <c r="N11" s="106"/>
      <c r="O11" s="106">
        <f t="shared" ref="O11:O40" si="2">B11</f>
        <v>2</v>
      </c>
      <c r="P11" s="374" t="s">
        <v>948</v>
      </c>
      <c r="Q11" s="384">
        <v>454</v>
      </c>
      <c r="R11" s="873" t="s">
        <v>530</v>
      </c>
      <c r="S11" s="124">
        <v>-21687</v>
      </c>
      <c r="T11" s="124">
        <v>-17209</v>
      </c>
      <c r="U11" s="124">
        <v>-17218</v>
      </c>
      <c r="V11" s="124">
        <v>-17209</v>
      </c>
      <c r="W11" s="124">
        <v>-61324</v>
      </c>
      <c r="X11" s="573">
        <f>SUM(F11:L11,S11:W11)</f>
        <v>-286603</v>
      </c>
      <c r="Y11" s="106">
        <f>Y10+1</f>
        <v>2</v>
      </c>
    </row>
    <row r="12" spans="2:25" s="2" customFormat="1" x14ac:dyDescent="0.25">
      <c r="B12" s="106">
        <f>B11+1</f>
        <v>3</v>
      </c>
      <c r="C12" s="374" t="s">
        <v>949</v>
      </c>
      <c r="D12" s="384">
        <v>454</v>
      </c>
      <c r="E12" s="873" t="s">
        <v>950</v>
      </c>
      <c r="F12" s="124">
        <v>0</v>
      </c>
      <c r="G12" s="124">
        <v>-6667</v>
      </c>
      <c r="H12" s="124">
        <v>-3333</v>
      </c>
      <c r="I12" s="124">
        <v>-3333</v>
      </c>
      <c r="J12" s="124">
        <v>-3334</v>
      </c>
      <c r="K12" s="124">
        <v>-3333</v>
      </c>
      <c r="L12" s="573">
        <v>-4875</v>
      </c>
      <c r="M12" s="106">
        <f t="shared" ref="M12:M40" si="3">B12</f>
        <v>3</v>
      </c>
      <c r="N12" s="106"/>
      <c r="O12" s="106">
        <f t="shared" si="2"/>
        <v>3</v>
      </c>
      <c r="P12" s="374" t="s">
        <v>949</v>
      </c>
      <c r="Q12" s="384">
        <v>454</v>
      </c>
      <c r="R12" s="873" t="s">
        <v>950</v>
      </c>
      <c r="S12" s="124">
        <v>-10097</v>
      </c>
      <c r="T12" s="124">
        <v>-3333</v>
      </c>
      <c r="U12" s="124">
        <v>-43333</v>
      </c>
      <c r="V12" s="124">
        <v>0</v>
      </c>
      <c r="W12" s="124">
        <v>0</v>
      </c>
      <c r="X12" s="573">
        <f>SUM(F12:L12,S12:W12)</f>
        <v>-81638</v>
      </c>
      <c r="Y12" s="106">
        <f t="shared" ref="Y12:Y17" si="4">Y11+1</f>
        <v>3</v>
      </c>
    </row>
    <row r="13" spans="2:25" s="2" customFormat="1" x14ac:dyDescent="0.25">
      <c r="B13" s="106">
        <f t="shared" ref="B13:B40" si="5">B12+1</f>
        <v>4</v>
      </c>
      <c r="C13" s="374">
        <v>4371080</v>
      </c>
      <c r="D13" s="384" t="s">
        <v>1454</v>
      </c>
      <c r="E13" s="873" t="s">
        <v>1455</v>
      </c>
      <c r="F13" s="898">
        <v>-16107</v>
      </c>
      <c r="G13" s="898">
        <v>-47801</v>
      </c>
      <c r="H13" s="898">
        <v>-49844</v>
      </c>
      <c r="I13" s="898">
        <v>-44088</v>
      </c>
      <c r="J13" s="898">
        <v>-43416</v>
      </c>
      <c r="K13" s="898">
        <v>-60938</v>
      </c>
      <c r="L13" s="120">
        <v>-57614</v>
      </c>
      <c r="M13" s="106">
        <f t="shared" si="3"/>
        <v>4</v>
      </c>
      <c r="N13" s="106"/>
      <c r="O13" s="106">
        <f t="shared" si="2"/>
        <v>4</v>
      </c>
      <c r="P13" s="374">
        <v>4371080</v>
      </c>
      <c r="Q13" s="384" t="s">
        <v>1454</v>
      </c>
      <c r="R13" s="873" t="s">
        <v>1455</v>
      </c>
      <c r="S13" s="898">
        <v>-46240</v>
      </c>
      <c r="T13" s="898">
        <v>-48378</v>
      </c>
      <c r="U13" s="898">
        <v>-1883515</v>
      </c>
      <c r="V13" s="898">
        <v>-876765</v>
      </c>
      <c r="W13" s="898">
        <v>-668348</v>
      </c>
      <c r="X13" s="120">
        <f>SUM(F13:L13,S13:W13)</f>
        <v>-3843054</v>
      </c>
      <c r="Y13" s="106">
        <f t="shared" si="4"/>
        <v>4</v>
      </c>
    </row>
    <row r="14" spans="2:25" s="2" customFormat="1" x14ac:dyDescent="0.25">
      <c r="B14" s="106">
        <f t="shared" si="5"/>
        <v>5</v>
      </c>
      <c r="C14" s="639"/>
      <c r="D14" s="384"/>
      <c r="E14" s="873"/>
      <c r="F14" s="6"/>
      <c r="G14" s="232"/>
      <c r="H14" s="232"/>
      <c r="I14" s="232"/>
      <c r="J14" s="232"/>
      <c r="K14" s="232"/>
      <c r="L14" s="573"/>
      <c r="M14" s="106">
        <f t="shared" si="3"/>
        <v>5</v>
      </c>
      <c r="N14" s="106"/>
      <c r="O14" s="106">
        <f t="shared" si="2"/>
        <v>5</v>
      </c>
      <c r="P14" s="639"/>
      <c r="Q14" s="384"/>
      <c r="R14" s="873"/>
      <c r="S14" s="232"/>
      <c r="T14" s="232"/>
      <c r="U14" s="232"/>
      <c r="V14" s="232"/>
      <c r="W14" s="232"/>
      <c r="X14" s="127"/>
      <c r="Y14" s="106">
        <f t="shared" si="4"/>
        <v>5</v>
      </c>
    </row>
    <row r="15" spans="2:25" s="2" customFormat="1" ht="18.75" x14ac:dyDescent="0.25">
      <c r="B15" s="106">
        <f t="shared" si="5"/>
        <v>6</v>
      </c>
      <c r="C15" s="639"/>
      <c r="D15" s="384"/>
      <c r="E15" s="272" t="s">
        <v>951</v>
      </c>
      <c r="F15" s="92">
        <f>SUM(F10:F13)</f>
        <v>-29640</v>
      </c>
      <c r="G15" s="92">
        <f t="shared" ref="G15:K15" si="6">SUM(G10:G13)</f>
        <v>-83451</v>
      </c>
      <c r="H15" s="92">
        <f t="shared" si="6"/>
        <v>-74434</v>
      </c>
      <c r="I15" s="92">
        <f t="shared" si="6"/>
        <v>-68679</v>
      </c>
      <c r="J15" s="92">
        <f t="shared" si="6"/>
        <v>-68345</v>
      </c>
      <c r="K15" s="92">
        <f t="shared" si="6"/>
        <v>-85907</v>
      </c>
      <c r="L15" s="121">
        <f>SUM(L10:L13)</f>
        <v>-86183</v>
      </c>
      <c r="M15" s="106">
        <f t="shared" si="3"/>
        <v>6</v>
      </c>
      <c r="N15" s="106"/>
      <c r="O15" s="106">
        <f t="shared" si="2"/>
        <v>6</v>
      </c>
      <c r="P15" s="639"/>
      <c r="Q15" s="384"/>
      <c r="R15" s="272" t="s">
        <v>951</v>
      </c>
      <c r="S15" s="61">
        <f>SUM(S10:S13)</f>
        <v>-78024</v>
      </c>
      <c r="T15" s="61">
        <f t="shared" ref="T15:W15" si="7">SUM(T10:T13)</f>
        <v>-68920</v>
      </c>
      <c r="U15" s="61">
        <f t="shared" si="7"/>
        <v>-1944066</v>
      </c>
      <c r="V15" s="61">
        <f t="shared" si="7"/>
        <v>-893974</v>
      </c>
      <c r="W15" s="61">
        <f t="shared" si="7"/>
        <v>-729672</v>
      </c>
      <c r="X15" s="121">
        <f>SUM(X10:X13)</f>
        <v>-4211295</v>
      </c>
      <c r="Y15" s="106">
        <f t="shared" si="4"/>
        <v>6</v>
      </c>
    </row>
    <row r="16" spans="2:25" s="2" customFormat="1" ht="16.5" thickBot="1" x14ac:dyDescent="0.3">
      <c r="B16" s="106">
        <f t="shared" si="5"/>
        <v>7</v>
      </c>
      <c r="C16" s="640"/>
      <c r="D16" s="891"/>
      <c r="E16" s="641"/>
      <c r="F16" s="892"/>
      <c r="G16" s="181"/>
      <c r="H16" s="892"/>
      <c r="I16" s="181"/>
      <c r="J16" s="892"/>
      <c r="K16" s="181"/>
      <c r="L16" s="182"/>
      <c r="M16" s="106">
        <f t="shared" si="3"/>
        <v>7</v>
      </c>
      <c r="N16" s="106"/>
      <c r="O16" s="106">
        <f t="shared" si="2"/>
        <v>7</v>
      </c>
      <c r="P16" s="640"/>
      <c r="Q16" s="891"/>
      <c r="R16" s="641"/>
      <c r="S16" s="181"/>
      <c r="T16" s="892"/>
      <c r="U16" s="181"/>
      <c r="V16" s="892"/>
      <c r="W16" s="181"/>
      <c r="X16" s="212"/>
      <c r="Y16" s="106">
        <f t="shared" si="4"/>
        <v>7</v>
      </c>
    </row>
    <row r="17" spans="1:35" s="2" customFormat="1" x14ac:dyDescent="0.25">
      <c r="B17" s="106">
        <f t="shared" si="5"/>
        <v>8</v>
      </c>
      <c r="C17" s="642" t="s">
        <v>952</v>
      </c>
      <c r="D17" s="384">
        <v>456</v>
      </c>
      <c r="E17" s="873" t="s">
        <v>953</v>
      </c>
      <c r="F17" s="122">
        <v>-783411</v>
      </c>
      <c r="G17" s="122">
        <v>-254495</v>
      </c>
      <c r="H17" s="122">
        <v>-264629</v>
      </c>
      <c r="I17" s="122">
        <v>-442260</v>
      </c>
      <c r="J17" s="122">
        <v>-283625</v>
      </c>
      <c r="K17" s="122">
        <v>-226931</v>
      </c>
      <c r="L17" s="123">
        <v>-309171</v>
      </c>
      <c r="M17" s="106">
        <f t="shared" si="3"/>
        <v>8</v>
      </c>
      <c r="N17" s="106"/>
      <c r="O17" s="106">
        <f t="shared" si="2"/>
        <v>8</v>
      </c>
      <c r="P17" s="642" t="str">
        <f>C17</f>
        <v>4371016</v>
      </c>
      <c r="Q17" s="384">
        <f>D17</f>
        <v>456</v>
      </c>
      <c r="R17" s="873" t="str">
        <f>E17</f>
        <v>Generation Interconnection</v>
      </c>
      <c r="S17" s="122">
        <v>-272212</v>
      </c>
      <c r="T17" s="122">
        <v>-256091</v>
      </c>
      <c r="U17" s="122">
        <v>-272211</v>
      </c>
      <c r="V17" s="122">
        <v>-272211</v>
      </c>
      <c r="W17" s="128">
        <v>-272211</v>
      </c>
      <c r="X17" s="573">
        <f t="shared" ref="X17:X29" si="8">SUM(F17:L17,S17:W17)</f>
        <v>-3909458</v>
      </c>
      <c r="Y17" s="106">
        <f t="shared" si="4"/>
        <v>8</v>
      </c>
    </row>
    <row r="18" spans="1:35" s="2" customFormat="1" x14ac:dyDescent="0.25">
      <c r="A18" s="1197"/>
      <c r="B18" s="106">
        <f t="shared" si="5"/>
        <v>9</v>
      </c>
      <c r="C18" s="639" t="s">
        <v>1773</v>
      </c>
      <c r="D18" s="384" t="s">
        <v>1774</v>
      </c>
      <c r="E18" s="873" t="s">
        <v>1775</v>
      </c>
      <c r="F18" s="124">
        <v>0</v>
      </c>
      <c r="G18" s="124">
        <v>-15250</v>
      </c>
      <c r="H18" s="124">
        <v>0</v>
      </c>
      <c r="I18" s="124">
        <v>-1500</v>
      </c>
      <c r="J18" s="124">
        <v>0</v>
      </c>
      <c r="K18" s="124">
        <v>0</v>
      </c>
      <c r="L18" s="573">
        <v>-1500</v>
      </c>
      <c r="M18" s="106">
        <f t="shared" si="3"/>
        <v>9</v>
      </c>
      <c r="N18" s="1197"/>
      <c r="O18" s="106">
        <f t="shared" si="2"/>
        <v>9</v>
      </c>
      <c r="P18" s="639" t="s">
        <v>1773</v>
      </c>
      <c r="Q18" s="384" t="s">
        <v>1774</v>
      </c>
      <c r="R18" s="873" t="s">
        <v>1775</v>
      </c>
      <c r="S18" s="124">
        <v>0</v>
      </c>
      <c r="T18" s="124">
        <v>-1500</v>
      </c>
      <c r="U18" s="124">
        <v>-6223</v>
      </c>
      <c r="V18" s="124">
        <v>0</v>
      </c>
      <c r="W18" s="124">
        <v>0</v>
      </c>
      <c r="X18" s="573">
        <f t="shared" si="8"/>
        <v>-25973</v>
      </c>
      <c r="Y18" s="106">
        <f t="shared" ref="Y18" si="9">Y17+1</f>
        <v>9</v>
      </c>
      <c r="Z18" s="1197"/>
    </row>
    <row r="19" spans="1:35" s="2" customFormat="1" x14ac:dyDescent="0.25">
      <c r="A19" s="1197"/>
      <c r="B19" s="106">
        <f t="shared" si="5"/>
        <v>10</v>
      </c>
      <c r="C19" s="639" t="s">
        <v>954</v>
      </c>
      <c r="D19" s="384">
        <v>456</v>
      </c>
      <c r="E19" s="873" t="s">
        <v>955</v>
      </c>
      <c r="F19" s="124">
        <v>-5030</v>
      </c>
      <c r="G19" s="124">
        <v>-2500</v>
      </c>
      <c r="H19" s="124">
        <v>-5625</v>
      </c>
      <c r="I19" s="124">
        <v>43</v>
      </c>
      <c r="J19" s="124">
        <v>-640</v>
      </c>
      <c r="K19" s="124">
        <v>-3499</v>
      </c>
      <c r="L19" s="573">
        <v>41035</v>
      </c>
      <c r="M19" s="106">
        <f t="shared" si="3"/>
        <v>10</v>
      </c>
      <c r="N19" s="1197"/>
      <c r="O19" s="106">
        <f t="shared" si="2"/>
        <v>10</v>
      </c>
      <c r="P19" s="639" t="str">
        <f t="shared" ref="P19:R25" si="10">C19</f>
        <v>4371040</v>
      </c>
      <c r="Q19" s="384">
        <f t="shared" si="10"/>
        <v>456</v>
      </c>
      <c r="R19" s="873" t="str">
        <f t="shared" si="10"/>
        <v xml:space="preserve">Revenue Enhancement </v>
      </c>
      <c r="S19" s="124">
        <v>-39258</v>
      </c>
      <c r="T19" s="124">
        <v>40694</v>
      </c>
      <c r="U19" s="124">
        <v>495</v>
      </c>
      <c r="V19" s="124">
        <v>3718</v>
      </c>
      <c r="W19" s="124">
        <v>0</v>
      </c>
      <c r="X19" s="573">
        <f t="shared" si="8"/>
        <v>29433</v>
      </c>
      <c r="Y19" s="106">
        <f t="shared" ref="Y19" si="11">Y18+1</f>
        <v>10</v>
      </c>
      <c r="Z19" s="1197"/>
    </row>
    <row r="20" spans="1:35" s="2" customFormat="1" x14ac:dyDescent="0.25">
      <c r="A20" s="1197"/>
      <c r="B20" s="106">
        <f t="shared" si="5"/>
        <v>11</v>
      </c>
      <c r="C20" s="643" t="s">
        <v>956</v>
      </c>
      <c r="D20" s="384">
        <v>456</v>
      </c>
      <c r="E20" s="644" t="s">
        <v>957</v>
      </c>
      <c r="F20" s="124">
        <v>-262272</v>
      </c>
      <c r="G20" s="124">
        <v>-263697</v>
      </c>
      <c r="H20" s="124">
        <v>-262147</v>
      </c>
      <c r="I20" s="124">
        <v>-261499</v>
      </c>
      <c r="J20" s="124">
        <v>-260547</v>
      </c>
      <c r="K20" s="124">
        <v>-258858</v>
      </c>
      <c r="L20" s="573">
        <v>-254033</v>
      </c>
      <c r="M20" s="106">
        <f t="shared" si="3"/>
        <v>11</v>
      </c>
      <c r="N20" s="1197"/>
      <c r="O20" s="106">
        <f t="shared" si="2"/>
        <v>11</v>
      </c>
      <c r="P20" s="643" t="str">
        <f t="shared" si="10"/>
        <v>4371055</v>
      </c>
      <c r="Q20" s="384">
        <f t="shared" si="10"/>
        <v>456</v>
      </c>
      <c r="R20" s="644" t="str">
        <f t="shared" si="10"/>
        <v>Shared Asset Revenue</v>
      </c>
      <c r="S20" s="124">
        <v>-250128</v>
      </c>
      <c r="T20" s="124">
        <v>-248109</v>
      </c>
      <c r="U20" s="124">
        <v>-245775</v>
      </c>
      <c r="V20" s="124">
        <v>-244705</v>
      </c>
      <c r="W20" s="124">
        <v>-237925</v>
      </c>
      <c r="X20" s="573">
        <f t="shared" si="8"/>
        <v>-3049695</v>
      </c>
      <c r="Y20" s="106">
        <f t="shared" ref="Y20" si="12">Y19+1</f>
        <v>11</v>
      </c>
      <c r="Z20" s="1197"/>
    </row>
    <row r="21" spans="1:35" s="2" customFormat="1" x14ac:dyDescent="0.25">
      <c r="A21" s="1197"/>
      <c r="B21" s="106">
        <f t="shared" si="5"/>
        <v>12</v>
      </c>
      <c r="C21" s="643" t="s">
        <v>958</v>
      </c>
      <c r="D21" s="893">
        <v>456</v>
      </c>
      <c r="E21" s="645" t="s">
        <v>959</v>
      </c>
      <c r="F21" s="124">
        <v>-1419</v>
      </c>
      <c r="G21" s="124">
        <v>-5248</v>
      </c>
      <c r="H21" s="124">
        <v>-3333</v>
      </c>
      <c r="I21" s="124">
        <v>-3333</v>
      </c>
      <c r="J21" s="124">
        <v>-3334</v>
      </c>
      <c r="K21" s="124">
        <v>-3333</v>
      </c>
      <c r="L21" s="573">
        <v>-3333</v>
      </c>
      <c r="M21" s="106">
        <f t="shared" si="3"/>
        <v>12</v>
      </c>
      <c r="N21" s="1197"/>
      <c r="O21" s="106">
        <f t="shared" si="2"/>
        <v>12</v>
      </c>
      <c r="P21" s="643" t="str">
        <f t="shared" si="10"/>
        <v>4371058</v>
      </c>
      <c r="Q21" s="893">
        <f t="shared" si="10"/>
        <v>456</v>
      </c>
      <c r="R21" s="645" t="str">
        <f t="shared" si="10"/>
        <v>Elec Trans Joint Pole Activity</v>
      </c>
      <c r="S21" s="124">
        <v>-3334</v>
      </c>
      <c r="T21" s="124">
        <v>-3333</v>
      </c>
      <c r="U21" s="124">
        <v>-3333</v>
      </c>
      <c r="V21" s="124">
        <v>-5799</v>
      </c>
      <c r="W21" s="124">
        <v>-3568</v>
      </c>
      <c r="X21" s="573">
        <f t="shared" si="8"/>
        <v>-42700</v>
      </c>
      <c r="Y21" s="106">
        <f t="shared" ref="Y21" si="13">Y20+1</f>
        <v>12</v>
      </c>
      <c r="Z21" s="1197"/>
    </row>
    <row r="22" spans="1:35" s="2" customFormat="1" x14ac:dyDescent="0.25">
      <c r="A22" s="1197"/>
      <c r="B22" s="106">
        <f t="shared" si="5"/>
        <v>13</v>
      </c>
      <c r="C22" s="643" t="s">
        <v>960</v>
      </c>
      <c r="D22" s="893">
        <v>456</v>
      </c>
      <c r="E22" s="645" t="s">
        <v>961</v>
      </c>
      <c r="F22" s="124">
        <v>-1439</v>
      </c>
      <c r="G22" s="124">
        <v>-1438</v>
      </c>
      <c r="H22" s="124">
        <v>-1439</v>
      </c>
      <c r="I22" s="124">
        <v>-1438</v>
      </c>
      <c r="J22" s="124">
        <v>-1439</v>
      </c>
      <c r="K22" s="124">
        <v>-1438</v>
      </c>
      <c r="L22" s="573">
        <v>-1439</v>
      </c>
      <c r="M22" s="106">
        <f t="shared" si="3"/>
        <v>13</v>
      </c>
      <c r="N22" s="1197"/>
      <c r="O22" s="106">
        <f t="shared" si="2"/>
        <v>13</v>
      </c>
      <c r="P22" s="643" t="str">
        <f t="shared" si="10"/>
        <v>4371061</v>
      </c>
      <c r="Q22" s="893">
        <f t="shared" si="10"/>
        <v>456</v>
      </c>
      <c r="R22" s="645" t="str">
        <f t="shared" si="10"/>
        <v>Excess Microwave Capacity - Elec Trans</v>
      </c>
      <c r="S22" s="124">
        <v>-1438</v>
      </c>
      <c r="T22" s="124">
        <v>-1439</v>
      </c>
      <c r="U22" s="124">
        <v>-1438</v>
      </c>
      <c r="V22" s="124">
        <v>-1439</v>
      </c>
      <c r="W22" s="124">
        <v>-1438</v>
      </c>
      <c r="X22" s="573">
        <f t="shared" si="8"/>
        <v>-17262</v>
      </c>
      <c r="Y22" s="106">
        <f t="shared" ref="Y22" si="14">Y21+1</f>
        <v>13</v>
      </c>
      <c r="Z22" s="1197"/>
    </row>
    <row r="23" spans="1:35" s="2" customFormat="1" x14ac:dyDescent="0.25">
      <c r="A23" s="1197"/>
      <c r="B23" s="106">
        <f t="shared" si="5"/>
        <v>14</v>
      </c>
      <c r="C23" s="643" t="s">
        <v>962</v>
      </c>
      <c r="D23" s="893">
        <v>456</v>
      </c>
      <c r="E23" s="645" t="s">
        <v>963</v>
      </c>
      <c r="F23" s="124">
        <v>0</v>
      </c>
      <c r="G23" s="124">
        <v>0</v>
      </c>
      <c r="H23" s="124">
        <v>0</v>
      </c>
      <c r="I23" s="124">
        <v>0</v>
      </c>
      <c r="J23" s="124">
        <v>0</v>
      </c>
      <c r="K23" s="124">
        <v>0</v>
      </c>
      <c r="L23" s="573">
        <v>0</v>
      </c>
      <c r="M23" s="106">
        <f t="shared" si="3"/>
        <v>14</v>
      </c>
      <c r="N23" s="1197"/>
      <c r="O23" s="106">
        <f t="shared" si="2"/>
        <v>14</v>
      </c>
      <c r="P23" s="643" t="str">
        <f t="shared" si="10"/>
        <v>4371065</v>
      </c>
      <c r="Q23" s="893">
        <f t="shared" si="10"/>
        <v>456</v>
      </c>
      <c r="R23" s="645" t="str">
        <f t="shared" si="10"/>
        <v>Trans Revenue Trsfr to Gen</v>
      </c>
      <c r="S23" s="124">
        <v>0</v>
      </c>
      <c r="T23" s="124">
        <v>0</v>
      </c>
      <c r="U23" s="124">
        <v>0</v>
      </c>
      <c r="V23" s="124">
        <v>0</v>
      </c>
      <c r="W23" s="124">
        <v>-28711</v>
      </c>
      <c r="X23" s="573">
        <f t="shared" si="8"/>
        <v>-28711</v>
      </c>
      <c r="Y23" s="106">
        <f t="shared" ref="Y23" si="15">Y22+1</f>
        <v>14</v>
      </c>
      <c r="Z23" s="1197"/>
      <c r="AI23" s="6"/>
    </row>
    <row r="24" spans="1:35" s="2" customFormat="1" x14ac:dyDescent="0.25">
      <c r="A24" s="1197"/>
      <c r="B24" s="106">
        <f t="shared" si="5"/>
        <v>15</v>
      </c>
      <c r="C24" s="643" t="s">
        <v>964</v>
      </c>
      <c r="D24" s="893">
        <v>456</v>
      </c>
      <c r="E24" s="645" t="s">
        <v>965</v>
      </c>
      <c r="F24" s="124">
        <v>0</v>
      </c>
      <c r="G24" s="124">
        <v>0</v>
      </c>
      <c r="H24" s="124">
        <v>0</v>
      </c>
      <c r="I24" s="124">
        <v>0</v>
      </c>
      <c r="J24" s="124">
        <v>0</v>
      </c>
      <c r="K24" s="124">
        <v>0</v>
      </c>
      <c r="L24" s="573">
        <v>0</v>
      </c>
      <c r="M24" s="106">
        <f t="shared" si="3"/>
        <v>15</v>
      </c>
      <c r="N24" s="1197"/>
      <c r="O24" s="106">
        <f t="shared" si="2"/>
        <v>15</v>
      </c>
      <c r="P24" s="643" t="str">
        <f t="shared" si="10"/>
        <v>4371067</v>
      </c>
      <c r="Q24" s="893">
        <f t="shared" si="10"/>
        <v>456</v>
      </c>
      <c r="R24" s="645" t="str">
        <f t="shared" si="10"/>
        <v>Trans Revenue Trsfr to Dist</v>
      </c>
      <c r="S24" s="124">
        <v>0</v>
      </c>
      <c r="T24" s="124">
        <v>0</v>
      </c>
      <c r="U24" s="124">
        <v>0</v>
      </c>
      <c r="V24" s="124">
        <v>0</v>
      </c>
      <c r="W24" s="124">
        <v>679010</v>
      </c>
      <c r="X24" s="573">
        <f t="shared" si="8"/>
        <v>679010</v>
      </c>
      <c r="Y24" s="106">
        <f t="shared" ref="Y24" si="16">Y23+1</f>
        <v>15</v>
      </c>
      <c r="Z24" s="1197"/>
      <c r="AI24" s="6"/>
    </row>
    <row r="25" spans="1:35" s="2" customFormat="1" x14ac:dyDescent="0.25">
      <c r="A25" s="1197"/>
      <c r="B25" s="106">
        <f t="shared" si="5"/>
        <v>16</v>
      </c>
      <c r="C25" s="643" t="s">
        <v>966</v>
      </c>
      <c r="D25" s="893">
        <v>456</v>
      </c>
      <c r="E25" s="645" t="s">
        <v>967</v>
      </c>
      <c r="F25" s="124">
        <v>0</v>
      </c>
      <c r="G25" s="124">
        <v>0</v>
      </c>
      <c r="H25" s="124">
        <v>0</v>
      </c>
      <c r="I25" s="124">
        <v>0</v>
      </c>
      <c r="J25" s="124">
        <v>0</v>
      </c>
      <c r="K25" s="124">
        <v>0</v>
      </c>
      <c r="L25" s="573">
        <v>0</v>
      </c>
      <c r="M25" s="106">
        <f t="shared" si="3"/>
        <v>16</v>
      </c>
      <c r="N25" s="1197"/>
      <c r="O25" s="106">
        <f t="shared" si="2"/>
        <v>16</v>
      </c>
      <c r="P25" s="643" t="str">
        <f t="shared" si="10"/>
        <v>4371070</v>
      </c>
      <c r="Q25" s="893">
        <f t="shared" si="10"/>
        <v>456</v>
      </c>
      <c r="R25" s="645" t="str">
        <f t="shared" si="10"/>
        <v>Trans Revenue Trsfr from Dist</v>
      </c>
      <c r="S25" s="124">
        <v>0</v>
      </c>
      <c r="T25" s="124">
        <v>0</v>
      </c>
      <c r="U25" s="124">
        <v>0</v>
      </c>
      <c r="V25" s="124">
        <v>0</v>
      </c>
      <c r="W25" s="124">
        <v>11620</v>
      </c>
      <c r="X25" s="573">
        <f t="shared" si="8"/>
        <v>11620</v>
      </c>
      <c r="Y25" s="106">
        <f t="shared" ref="Y25" si="17">Y24+1</f>
        <v>16</v>
      </c>
      <c r="Z25" s="1197"/>
      <c r="AI25" s="6"/>
    </row>
    <row r="26" spans="1:35" s="2" customFormat="1" x14ac:dyDescent="0.25">
      <c r="A26" s="1197"/>
      <c r="B26" s="106">
        <f t="shared" si="5"/>
        <v>17</v>
      </c>
      <c r="C26" s="643" t="s">
        <v>968</v>
      </c>
      <c r="D26" s="893">
        <v>456</v>
      </c>
      <c r="E26" s="645" t="s">
        <v>969</v>
      </c>
      <c r="F26" s="124">
        <v>0</v>
      </c>
      <c r="G26" s="124">
        <v>0</v>
      </c>
      <c r="H26" s="124">
        <v>0</v>
      </c>
      <c r="I26" s="124">
        <v>0</v>
      </c>
      <c r="J26" s="124">
        <v>0</v>
      </c>
      <c r="K26" s="124">
        <v>0</v>
      </c>
      <c r="L26" s="573">
        <v>0</v>
      </c>
      <c r="M26" s="106">
        <f t="shared" si="3"/>
        <v>17</v>
      </c>
      <c r="N26" s="1197"/>
      <c r="O26" s="106">
        <f t="shared" si="2"/>
        <v>17</v>
      </c>
      <c r="P26" s="643" t="s">
        <v>968</v>
      </c>
      <c r="Q26" s="893">
        <v>456</v>
      </c>
      <c r="R26" s="645" t="s">
        <v>969</v>
      </c>
      <c r="S26" s="124">
        <v>0</v>
      </c>
      <c r="T26" s="124">
        <v>0</v>
      </c>
      <c r="U26" s="124">
        <v>0</v>
      </c>
      <c r="V26" s="124">
        <v>0</v>
      </c>
      <c r="W26" s="124">
        <v>0</v>
      </c>
      <c r="X26" s="573">
        <f t="shared" si="8"/>
        <v>0</v>
      </c>
      <c r="Y26" s="106">
        <f t="shared" ref="Y26" si="18">Y25+1</f>
        <v>17</v>
      </c>
      <c r="Z26" s="1197"/>
      <c r="AI26" s="6"/>
    </row>
    <row r="27" spans="1:35" s="2" customFormat="1" x14ac:dyDescent="0.25">
      <c r="A27" s="1197"/>
      <c r="B27" s="106">
        <f t="shared" si="5"/>
        <v>18</v>
      </c>
      <c r="C27" s="643" t="s">
        <v>970</v>
      </c>
      <c r="D27" s="893">
        <v>456</v>
      </c>
      <c r="E27" s="646" t="s">
        <v>971</v>
      </c>
      <c r="F27" s="124">
        <v>-26379</v>
      </c>
      <c r="G27" s="124">
        <v>-26380</v>
      </c>
      <c r="H27" s="124">
        <v>-145711</v>
      </c>
      <c r="I27" s="124">
        <v>-31234</v>
      </c>
      <c r="J27" s="124">
        <v>-31234</v>
      </c>
      <c r="K27" s="124">
        <v>-31234</v>
      </c>
      <c r="L27" s="573">
        <v>-31234</v>
      </c>
      <c r="M27" s="106">
        <f t="shared" si="3"/>
        <v>18</v>
      </c>
      <c r="N27" s="1197"/>
      <c r="O27" s="106">
        <f t="shared" si="2"/>
        <v>18</v>
      </c>
      <c r="P27" s="643" t="str">
        <f t="shared" ref="P27:R29" si="19">C27</f>
        <v>4371082</v>
      </c>
      <c r="Q27" s="893">
        <f t="shared" si="19"/>
        <v>456</v>
      </c>
      <c r="R27" s="646" t="str">
        <f t="shared" si="19"/>
        <v>Other Elec Rev-SDGE Gen</v>
      </c>
      <c r="S27" s="124">
        <v>-31234</v>
      </c>
      <c r="T27" s="124">
        <v>-31234</v>
      </c>
      <c r="U27" s="124">
        <v>-31234</v>
      </c>
      <c r="V27" s="124">
        <v>-31235</v>
      </c>
      <c r="W27" s="124">
        <v>-31234</v>
      </c>
      <c r="X27" s="573">
        <f t="shared" si="8"/>
        <v>-479577</v>
      </c>
      <c r="Y27" s="106">
        <f t="shared" ref="Y27:Y40" si="20">Y26+1</f>
        <v>18</v>
      </c>
      <c r="Z27" s="1197"/>
      <c r="AI27" s="6"/>
    </row>
    <row r="28" spans="1:35" s="2" customFormat="1" x14ac:dyDescent="0.25">
      <c r="A28" s="1197"/>
      <c r="B28" s="106">
        <f t="shared" si="5"/>
        <v>19</v>
      </c>
      <c r="C28" s="643" t="s">
        <v>1963</v>
      </c>
      <c r="D28" s="893">
        <v>456</v>
      </c>
      <c r="E28" s="646" t="s">
        <v>1962</v>
      </c>
      <c r="F28" s="124">
        <v>0</v>
      </c>
      <c r="G28" s="124">
        <v>0</v>
      </c>
      <c r="H28" s="124">
        <v>0</v>
      </c>
      <c r="I28" s="124">
        <v>0</v>
      </c>
      <c r="J28" s="124">
        <v>0</v>
      </c>
      <c r="K28" s="124">
        <v>0</v>
      </c>
      <c r="L28" s="573">
        <v>0</v>
      </c>
      <c r="M28" s="106">
        <f t="shared" ref="M28" si="21">B28</f>
        <v>19</v>
      </c>
      <c r="N28" s="1197"/>
      <c r="O28" s="106">
        <f t="shared" ref="O28" si="22">B28</f>
        <v>19</v>
      </c>
      <c r="P28" s="643" t="str">
        <f t="shared" ref="P28" si="23">C28</f>
        <v>4371105</v>
      </c>
      <c r="Q28" s="893">
        <f t="shared" ref="Q28" si="24">D28</f>
        <v>456</v>
      </c>
      <c r="R28" s="646" t="str">
        <f t="shared" ref="R28" si="25">E28</f>
        <v>New Application Fees - PA - Transmission</v>
      </c>
      <c r="S28" s="124">
        <v>0</v>
      </c>
      <c r="T28" s="124">
        <v>0</v>
      </c>
      <c r="U28" s="124">
        <v>0</v>
      </c>
      <c r="V28" s="124">
        <v>0</v>
      </c>
      <c r="W28" s="124">
        <v>0</v>
      </c>
      <c r="X28" s="573">
        <f t="shared" si="8"/>
        <v>0</v>
      </c>
      <c r="Y28" s="106">
        <f t="shared" si="20"/>
        <v>19</v>
      </c>
      <c r="Z28" s="1197"/>
      <c r="AI28" s="6"/>
    </row>
    <row r="29" spans="1:35" s="2" customFormat="1" x14ac:dyDescent="0.25">
      <c r="A29" s="1197"/>
      <c r="B29" s="106">
        <f t="shared" si="5"/>
        <v>20</v>
      </c>
      <c r="C29" s="643" t="s">
        <v>972</v>
      </c>
      <c r="D29" s="893">
        <v>456</v>
      </c>
      <c r="E29" s="873" t="s">
        <v>973</v>
      </c>
      <c r="F29" s="898">
        <v>0</v>
      </c>
      <c r="G29" s="898">
        <v>0</v>
      </c>
      <c r="H29" s="898">
        <v>0</v>
      </c>
      <c r="I29" s="898">
        <v>0</v>
      </c>
      <c r="J29" s="898">
        <v>0</v>
      </c>
      <c r="K29" s="898">
        <v>0</v>
      </c>
      <c r="L29" s="120">
        <v>0</v>
      </c>
      <c r="M29" s="106">
        <f t="shared" si="3"/>
        <v>20</v>
      </c>
      <c r="N29" s="1197"/>
      <c r="O29" s="106">
        <f t="shared" si="2"/>
        <v>20</v>
      </c>
      <c r="P29" s="643" t="str">
        <f t="shared" si="19"/>
        <v>4371806</v>
      </c>
      <c r="Q29" s="893">
        <f t="shared" si="19"/>
        <v>456</v>
      </c>
      <c r="R29" s="873" t="str">
        <f t="shared" si="19"/>
        <v>Elec-Trans Fees/Rev</v>
      </c>
      <c r="S29" s="898">
        <v>0</v>
      </c>
      <c r="T29" s="898">
        <v>-4000</v>
      </c>
      <c r="U29" s="898">
        <v>0</v>
      </c>
      <c r="V29" s="898">
        <v>0</v>
      </c>
      <c r="W29" s="898"/>
      <c r="X29" s="120">
        <f t="shared" si="8"/>
        <v>-4000</v>
      </c>
      <c r="Y29" s="106">
        <f t="shared" si="20"/>
        <v>20</v>
      </c>
      <c r="Z29" s="1197"/>
      <c r="AI29" s="6"/>
    </row>
    <row r="30" spans="1:35" s="2" customFormat="1" x14ac:dyDescent="0.25">
      <c r="A30" s="1197"/>
      <c r="B30" s="106">
        <f t="shared" si="5"/>
        <v>21</v>
      </c>
      <c r="C30" s="643"/>
      <c r="D30" s="893"/>
      <c r="E30" s="873"/>
      <c r="F30" s="232"/>
      <c r="G30" s="6"/>
      <c r="H30" s="232"/>
      <c r="I30" s="6"/>
      <c r="J30" s="232"/>
      <c r="K30" s="6"/>
      <c r="L30" s="573"/>
      <c r="M30" s="106">
        <f t="shared" si="3"/>
        <v>21</v>
      </c>
      <c r="N30" s="1197"/>
      <c r="O30" s="106">
        <f t="shared" si="2"/>
        <v>21</v>
      </c>
      <c r="P30" s="643"/>
      <c r="Q30" s="893"/>
      <c r="R30" s="873"/>
      <c r="S30" s="6"/>
      <c r="T30" s="232"/>
      <c r="U30" s="6"/>
      <c r="V30" s="232"/>
      <c r="W30" s="6"/>
      <c r="X30" s="573"/>
      <c r="Y30" s="106">
        <f t="shared" si="20"/>
        <v>21</v>
      </c>
      <c r="Z30" s="1197"/>
      <c r="AI30" s="6"/>
    </row>
    <row r="31" spans="1:35" s="2" customFormat="1" ht="18.75" x14ac:dyDescent="0.25">
      <c r="A31" s="1197"/>
      <c r="B31" s="106">
        <f t="shared" si="5"/>
        <v>22</v>
      </c>
      <c r="C31" s="643"/>
      <c r="D31" s="893"/>
      <c r="E31" s="272" t="s">
        <v>974</v>
      </c>
      <c r="F31" s="353">
        <f t="shared" ref="F31:L31" si="26">SUM(F17:F30)</f>
        <v>-1079950</v>
      </c>
      <c r="G31" s="593">
        <f t="shared" si="26"/>
        <v>-569008</v>
      </c>
      <c r="H31" s="593">
        <f t="shared" si="26"/>
        <v>-682884</v>
      </c>
      <c r="I31" s="593">
        <f t="shared" si="26"/>
        <v>-741221</v>
      </c>
      <c r="J31" s="593">
        <f t="shared" si="26"/>
        <v>-580819</v>
      </c>
      <c r="K31" s="593">
        <f t="shared" si="26"/>
        <v>-525293</v>
      </c>
      <c r="L31" s="647">
        <f t="shared" si="26"/>
        <v>-559675</v>
      </c>
      <c r="M31" s="106">
        <f t="shared" si="3"/>
        <v>22</v>
      </c>
      <c r="N31" s="1197"/>
      <c r="O31" s="106">
        <f t="shared" si="2"/>
        <v>22</v>
      </c>
      <c r="P31" s="643"/>
      <c r="Q31" s="893"/>
      <c r="R31" s="272" t="s">
        <v>974</v>
      </c>
      <c r="S31" s="593">
        <f>SUM(S17:S30)</f>
        <v>-597604</v>
      </c>
      <c r="T31" s="593">
        <f>SUM(T17:T30)</f>
        <v>-505012</v>
      </c>
      <c r="U31" s="593">
        <f>SUM(U17:U30)</f>
        <v>-559719</v>
      </c>
      <c r="V31" s="593">
        <f>SUM(V17:V30)</f>
        <v>-551671</v>
      </c>
      <c r="W31" s="593">
        <f>SUM(W17:W30)</f>
        <v>115543</v>
      </c>
      <c r="X31" s="647">
        <f>SUM(X17:X29)</f>
        <v>-6837313</v>
      </c>
      <c r="Y31" s="106">
        <f t="shared" si="20"/>
        <v>22</v>
      </c>
      <c r="Z31" s="1197"/>
      <c r="AI31" s="6"/>
    </row>
    <row r="32" spans="1:35" s="2" customFormat="1" ht="16.5" thickBot="1" x14ac:dyDescent="0.3">
      <c r="A32" s="1197"/>
      <c r="B32" s="106">
        <f t="shared" si="5"/>
        <v>23</v>
      </c>
      <c r="C32" s="648"/>
      <c r="D32" s="649"/>
      <c r="E32" s="641"/>
      <c r="F32" s="181"/>
      <c r="G32" s="892"/>
      <c r="H32" s="181"/>
      <c r="I32" s="892"/>
      <c r="J32" s="181"/>
      <c r="K32" s="892"/>
      <c r="L32" s="182"/>
      <c r="M32" s="106">
        <f t="shared" si="3"/>
        <v>23</v>
      </c>
      <c r="N32" s="1197"/>
      <c r="O32" s="106">
        <f t="shared" si="2"/>
        <v>23</v>
      </c>
      <c r="P32" s="648"/>
      <c r="Q32" s="649"/>
      <c r="R32" s="641"/>
      <c r="S32" s="892"/>
      <c r="T32" s="181"/>
      <c r="U32" s="892"/>
      <c r="V32" s="181"/>
      <c r="W32" s="892"/>
      <c r="X32" s="182"/>
      <c r="Y32" s="106">
        <f t="shared" si="20"/>
        <v>23</v>
      </c>
      <c r="Z32" s="1197"/>
      <c r="AI32" s="6"/>
    </row>
    <row r="33" spans="1:35" s="2" customFormat="1" ht="18.75" x14ac:dyDescent="0.25">
      <c r="A33" s="1197"/>
      <c r="B33" s="106">
        <f t="shared" si="5"/>
        <v>24</v>
      </c>
      <c r="C33" s="643"/>
      <c r="D33" s="893" t="s">
        <v>975</v>
      </c>
      <c r="E33" s="594" t="s">
        <v>976</v>
      </c>
      <c r="F33" s="122">
        <v>-52343</v>
      </c>
      <c r="G33" s="124">
        <v>-52344</v>
      </c>
      <c r="H33" s="232">
        <v>-52343</v>
      </c>
      <c r="I33" s="6">
        <v>-52344</v>
      </c>
      <c r="J33" s="232">
        <v>-52343</v>
      </c>
      <c r="K33" s="6">
        <v>-52344</v>
      </c>
      <c r="L33" s="573">
        <v>-52343</v>
      </c>
      <c r="M33" s="106">
        <f t="shared" si="3"/>
        <v>24</v>
      </c>
      <c r="N33" s="1197"/>
      <c r="O33" s="106">
        <f t="shared" si="2"/>
        <v>24</v>
      </c>
      <c r="P33" s="643"/>
      <c r="Q33" s="893" t="str">
        <f>D33</f>
        <v>Various</v>
      </c>
      <c r="R33" s="594" t="s">
        <v>976</v>
      </c>
      <c r="S33" s="122">
        <v>-52344</v>
      </c>
      <c r="T33" s="122">
        <v>-52343</v>
      </c>
      <c r="U33" s="122">
        <v>-52344</v>
      </c>
      <c r="V33" s="122">
        <v>-52343</v>
      </c>
      <c r="W33" s="122">
        <v>-52344</v>
      </c>
      <c r="X33" s="573">
        <f>SUM(F33:L33,S33:W33)</f>
        <v>-628122</v>
      </c>
      <c r="Y33" s="106">
        <f t="shared" si="20"/>
        <v>24</v>
      </c>
      <c r="Z33" s="1197"/>
      <c r="AI33" s="6"/>
    </row>
    <row r="34" spans="1:35" s="2" customFormat="1" ht="18.75" x14ac:dyDescent="0.25">
      <c r="A34" s="1197"/>
      <c r="B34" s="106">
        <f t="shared" si="5"/>
        <v>25</v>
      </c>
      <c r="C34" s="650"/>
      <c r="D34" s="825" t="s">
        <v>975</v>
      </c>
      <c r="E34" s="826" t="s">
        <v>977</v>
      </c>
      <c r="F34" s="898">
        <v>-16037</v>
      </c>
      <c r="G34" s="898">
        <v>-16037</v>
      </c>
      <c r="H34" s="898">
        <v>-16038</v>
      </c>
      <c r="I34" s="898">
        <v>-16037</v>
      </c>
      <c r="J34" s="898">
        <v>-16037</v>
      </c>
      <c r="K34" s="898">
        <v>-16037</v>
      </c>
      <c r="L34" s="120">
        <v>-16037</v>
      </c>
      <c r="M34" s="106">
        <f t="shared" si="3"/>
        <v>25</v>
      </c>
      <c r="N34" s="1197"/>
      <c r="O34" s="106">
        <f t="shared" si="2"/>
        <v>25</v>
      </c>
      <c r="P34" s="650"/>
      <c r="Q34" s="825" t="s">
        <v>975</v>
      </c>
      <c r="R34" s="826" t="s">
        <v>977</v>
      </c>
      <c r="S34" s="898">
        <v>-16038</v>
      </c>
      <c r="T34" s="898">
        <v>-16037</v>
      </c>
      <c r="U34" s="898">
        <v>-16037</v>
      </c>
      <c r="V34" s="898">
        <v>-16037</v>
      </c>
      <c r="W34" s="898">
        <v>-16038</v>
      </c>
      <c r="X34" s="120">
        <f>SUM(F34:L34,S34:W34)</f>
        <v>-192447</v>
      </c>
      <c r="Y34" s="106">
        <f t="shared" si="20"/>
        <v>25</v>
      </c>
      <c r="Z34" s="1197"/>
      <c r="AI34" s="6"/>
    </row>
    <row r="35" spans="1:35" s="2" customFormat="1" x14ac:dyDescent="0.25">
      <c r="A35" s="1197"/>
      <c r="B35" s="106">
        <f t="shared" si="5"/>
        <v>26</v>
      </c>
      <c r="C35" s="651"/>
      <c r="D35" s="232"/>
      <c r="E35" s="645"/>
      <c r="F35" s="124"/>
      <c r="G35" s="124"/>
      <c r="H35" s="124"/>
      <c r="I35" s="124"/>
      <c r="J35" s="124"/>
      <c r="K35" s="124"/>
      <c r="L35" s="573"/>
      <c r="M35" s="106">
        <f t="shared" si="3"/>
        <v>26</v>
      </c>
      <c r="N35" s="1197"/>
      <c r="O35" s="106">
        <f t="shared" si="2"/>
        <v>26</v>
      </c>
      <c r="P35" s="651"/>
      <c r="Q35" s="232"/>
      <c r="R35" s="645"/>
      <c r="S35" s="124"/>
      <c r="T35" s="124"/>
      <c r="U35" s="124"/>
      <c r="V35" s="124"/>
      <c r="W35" s="124"/>
      <c r="X35" s="573"/>
      <c r="Y35" s="106">
        <f t="shared" si="20"/>
        <v>26</v>
      </c>
      <c r="Z35" s="1197"/>
    </row>
    <row r="36" spans="1:35" s="2" customFormat="1" x14ac:dyDescent="0.25">
      <c r="A36" s="1197"/>
      <c r="B36" s="106">
        <f t="shared" si="5"/>
        <v>27</v>
      </c>
      <c r="C36" s="652"/>
      <c r="D36" s="894"/>
      <c r="E36" s="339" t="s">
        <v>928</v>
      </c>
      <c r="F36" s="599">
        <f>SUM(F33:F35)</f>
        <v>-68380</v>
      </c>
      <c r="G36" s="599">
        <f t="shared" ref="G36:L36" si="27">SUM(G33:G35)</f>
        <v>-68381</v>
      </c>
      <c r="H36" s="599">
        <f t="shared" si="27"/>
        <v>-68381</v>
      </c>
      <c r="I36" s="599">
        <f t="shared" si="27"/>
        <v>-68381</v>
      </c>
      <c r="J36" s="599">
        <f t="shared" si="27"/>
        <v>-68380</v>
      </c>
      <c r="K36" s="599">
        <f t="shared" si="27"/>
        <v>-68381</v>
      </c>
      <c r="L36" s="125">
        <f t="shared" si="27"/>
        <v>-68380</v>
      </c>
      <c r="M36" s="106">
        <f t="shared" si="3"/>
        <v>27</v>
      </c>
      <c r="N36" s="1197"/>
      <c r="O36" s="106">
        <f t="shared" si="2"/>
        <v>27</v>
      </c>
      <c r="P36" s="652"/>
      <c r="Q36" s="894"/>
      <c r="R36" s="653" t="str">
        <f t="shared" ref="R36" si="28">E36</f>
        <v>Electric Transmission Revenues from Citizens</v>
      </c>
      <c r="S36" s="599">
        <f>SUM(S33:S35)</f>
        <v>-68382</v>
      </c>
      <c r="T36" s="599">
        <f t="shared" ref="T36:W36" si="29">SUM(T33:T35)</f>
        <v>-68380</v>
      </c>
      <c r="U36" s="599">
        <f t="shared" si="29"/>
        <v>-68381</v>
      </c>
      <c r="V36" s="599">
        <f t="shared" si="29"/>
        <v>-68380</v>
      </c>
      <c r="W36" s="599">
        <f t="shared" si="29"/>
        <v>-68382</v>
      </c>
      <c r="X36" s="125">
        <f>SUM(X33:X35)</f>
        <v>-820569</v>
      </c>
      <c r="Y36" s="106">
        <f t="shared" si="20"/>
        <v>27</v>
      </c>
      <c r="Z36" s="1197"/>
    </row>
    <row r="37" spans="1:35" s="2" customFormat="1" x14ac:dyDescent="0.25">
      <c r="A37" s="1197"/>
      <c r="B37" s="106">
        <f t="shared" si="5"/>
        <v>28</v>
      </c>
      <c r="C37" s="652"/>
      <c r="D37" s="894"/>
      <c r="E37" s="339"/>
      <c r="F37" s="593"/>
      <c r="G37" s="593"/>
      <c r="H37" s="593"/>
      <c r="I37" s="353"/>
      <c r="J37" s="86"/>
      <c r="K37" s="593"/>
      <c r="L37" s="647"/>
      <c r="M37" s="106">
        <f t="shared" si="3"/>
        <v>28</v>
      </c>
      <c r="N37" s="1197"/>
      <c r="O37" s="106">
        <f t="shared" si="2"/>
        <v>28</v>
      </c>
      <c r="P37" s="652"/>
      <c r="Q37" s="894"/>
      <c r="R37" s="653"/>
      <c r="S37" s="60"/>
      <c r="T37" s="86"/>
      <c r="U37" s="353"/>
      <c r="V37" s="86"/>
      <c r="W37" s="353"/>
      <c r="X37" s="657"/>
      <c r="Y37" s="106">
        <f t="shared" si="20"/>
        <v>28</v>
      </c>
      <c r="Z37" s="1197"/>
    </row>
    <row r="38" spans="1:35" s="2" customFormat="1" x14ac:dyDescent="0.25">
      <c r="A38" s="1197"/>
      <c r="B38" s="106">
        <f t="shared" si="5"/>
        <v>29</v>
      </c>
      <c r="C38" s="652"/>
      <c r="D38" s="894"/>
      <c r="E38" s="654"/>
      <c r="F38" s="86"/>
      <c r="G38" s="353"/>
      <c r="H38" s="86"/>
      <c r="I38" s="353"/>
      <c r="J38" s="86"/>
      <c r="K38" s="593"/>
      <c r="L38" s="647"/>
      <c r="M38" s="106">
        <f t="shared" si="3"/>
        <v>29</v>
      </c>
      <c r="N38" s="1197"/>
      <c r="O38" s="106">
        <f t="shared" si="2"/>
        <v>29</v>
      </c>
      <c r="P38" s="655"/>
      <c r="Q38" s="656"/>
      <c r="R38" s="890"/>
      <c r="S38" s="60"/>
      <c r="T38" s="86"/>
      <c r="U38" s="353"/>
      <c r="V38" s="86"/>
      <c r="W38" s="353"/>
      <c r="X38" s="657"/>
      <c r="Y38" s="106">
        <f t="shared" si="20"/>
        <v>29</v>
      </c>
      <c r="Z38" s="1197"/>
    </row>
    <row r="39" spans="1:35" s="3" customFormat="1" ht="16.5" thickBot="1" x14ac:dyDescent="0.3">
      <c r="A39" s="1197"/>
      <c r="B39" s="106">
        <f t="shared" si="5"/>
        <v>30</v>
      </c>
      <c r="C39" s="658" t="s">
        <v>978</v>
      </c>
      <c r="E39" s="895"/>
      <c r="F39" s="101">
        <f t="shared" ref="F39:L39" si="30">F15+F31+F36</f>
        <v>-1177970</v>
      </c>
      <c r="G39" s="98">
        <f t="shared" si="30"/>
        <v>-720840</v>
      </c>
      <c r="H39" s="101">
        <f t="shared" si="30"/>
        <v>-825699</v>
      </c>
      <c r="I39" s="98">
        <f t="shared" si="30"/>
        <v>-878281</v>
      </c>
      <c r="J39" s="101">
        <f t="shared" si="30"/>
        <v>-717544</v>
      </c>
      <c r="K39" s="98">
        <f t="shared" si="30"/>
        <v>-679581</v>
      </c>
      <c r="L39" s="126">
        <f t="shared" si="30"/>
        <v>-714238</v>
      </c>
      <c r="M39" s="106">
        <f t="shared" si="3"/>
        <v>30</v>
      </c>
      <c r="N39" s="1197"/>
      <c r="O39" s="106">
        <f t="shared" si="2"/>
        <v>30</v>
      </c>
      <c r="P39" s="658" t="str">
        <f>C39</f>
        <v>Total Miscellaneous Revenue</v>
      </c>
      <c r="R39" s="895"/>
      <c r="S39" s="98">
        <f t="shared" ref="S39:X39" si="31">S15+S31+S36</f>
        <v>-744010</v>
      </c>
      <c r="T39" s="101">
        <f t="shared" si="31"/>
        <v>-642312</v>
      </c>
      <c r="U39" s="98">
        <f t="shared" si="31"/>
        <v>-2572166</v>
      </c>
      <c r="V39" s="101">
        <f t="shared" si="31"/>
        <v>-1514025</v>
      </c>
      <c r="W39" s="98">
        <f t="shared" si="31"/>
        <v>-682511</v>
      </c>
      <c r="X39" s="126">
        <f t="shared" si="31"/>
        <v>-11869177</v>
      </c>
      <c r="Y39" s="106">
        <f t="shared" si="20"/>
        <v>30</v>
      </c>
      <c r="Z39" s="1197"/>
    </row>
    <row r="40" spans="1:35" ht="17.25" thickTop="1" thickBot="1" x14ac:dyDescent="0.3">
      <c r="A40" s="1197"/>
      <c r="B40" s="106">
        <f t="shared" si="5"/>
        <v>31</v>
      </c>
      <c r="C40" s="205"/>
      <c r="D40" s="862"/>
      <c r="E40" s="206"/>
      <c r="F40" s="862"/>
      <c r="G40" s="206"/>
      <c r="H40" s="862"/>
      <c r="I40" s="206"/>
      <c r="J40" s="862"/>
      <c r="K40" s="206"/>
      <c r="L40" s="597"/>
      <c r="M40" s="106">
        <f t="shared" si="3"/>
        <v>31</v>
      </c>
      <c r="N40" s="1197"/>
      <c r="O40" s="106">
        <f t="shared" si="2"/>
        <v>31</v>
      </c>
      <c r="P40" s="205"/>
      <c r="Q40" s="862"/>
      <c r="R40" s="206"/>
      <c r="S40" s="206"/>
      <c r="T40" s="862"/>
      <c r="U40" s="206"/>
      <c r="V40" s="862"/>
      <c r="W40" s="129"/>
      <c r="X40" s="130"/>
      <c r="Y40" s="106">
        <f t="shared" si="20"/>
        <v>31</v>
      </c>
      <c r="Z40" s="1197"/>
    </row>
    <row r="41" spans="1:35" x14ac:dyDescent="0.25">
      <c r="B41" s="106"/>
      <c r="M41" s="106"/>
      <c r="N41" s="106"/>
      <c r="O41" s="106"/>
      <c r="Y41" s="106"/>
    </row>
    <row r="42" spans="1:35" x14ac:dyDescent="0.25">
      <c r="B42" s="217"/>
      <c r="C42" s="1"/>
    </row>
    <row r="43" spans="1:35" ht="18.75" x14ac:dyDescent="0.25">
      <c r="B43" s="265">
        <v>1</v>
      </c>
      <c r="C43" s="31" t="s">
        <v>979</v>
      </c>
      <c r="O43" s="265">
        <f>B43</f>
        <v>1</v>
      </c>
      <c r="P43" s="31" t="str">
        <f>C43</f>
        <v>The total Rent from Electric Property in FERC Form 1; Page 300-301; Line 19; Col. b includes both Distribution and Transmission rents. The Total Transmission-related Rents from Electric</v>
      </c>
    </row>
    <row r="44" spans="1:35" x14ac:dyDescent="0.25">
      <c r="C44" s="31" t="s">
        <v>1458</v>
      </c>
      <c r="P44" s="31" t="str">
        <f>C44</f>
        <v xml:space="preserve">Property is reflected in Col. (m) of this schedule. </v>
      </c>
    </row>
    <row r="45" spans="1:35" ht="18.75" x14ac:dyDescent="0.25">
      <c r="B45" s="265">
        <v>2</v>
      </c>
      <c r="C45" s="31" t="s">
        <v>980</v>
      </c>
      <c r="O45" s="265">
        <f>B45</f>
        <v>2</v>
      </c>
      <c r="P45" s="31" t="str">
        <f>C45</f>
        <v>The total Other Electric Revenues in FERC Form 1; Page 300-301; Line 21; Col. b includes other revenues for both Distribution and Transmission. The Total Transmission-related piece of Other</v>
      </c>
    </row>
    <row r="46" spans="1:35" x14ac:dyDescent="0.25">
      <c r="C46" s="31" t="s">
        <v>981</v>
      </c>
      <c r="P46" s="31" t="str">
        <f>C46</f>
        <v>Revenues is reflected in Col. (m) of this schedule and ties to the footnotes on FERC Form 1; Page 300-301; Footnote Data (c).</v>
      </c>
    </row>
    <row r="47" spans="1:35" ht="18.75" x14ac:dyDescent="0.25">
      <c r="B47" s="265">
        <v>3</v>
      </c>
      <c r="C47" s="31" t="s">
        <v>982</v>
      </c>
      <c r="O47" s="265">
        <f>B47</f>
        <v>3</v>
      </c>
      <c r="P47" s="31" t="str">
        <f>C47</f>
        <v>The Electric Transmission Revenue for Citizens in this statement is to provide ratepayers a credit for Citizens' share of Transmission-related Common and General Plant, Transmission-related</v>
      </c>
    </row>
    <row r="48" spans="1:35" x14ac:dyDescent="0.25">
      <c r="C48" s="31" t="s">
        <v>983</v>
      </c>
      <c r="P48" s="31" t="str">
        <f>C48</f>
        <v>Working Capital Revenue, and Franchise Fees.</v>
      </c>
    </row>
    <row r="53" spans="3:6" x14ac:dyDescent="0.25">
      <c r="C53" s="824"/>
      <c r="F53" s="217"/>
    </row>
    <row r="54" spans="3:6" x14ac:dyDescent="0.25">
      <c r="C54" s="824"/>
      <c r="F54" s="217"/>
    </row>
    <row r="55" spans="3:6" x14ac:dyDescent="0.25">
      <c r="C55" s="824"/>
      <c r="F55" s="217"/>
    </row>
  </sheetData>
  <mergeCells count="8">
    <mergeCell ref="C2:L2"/>
    <mergeCell ref="C3:L3"/>
    <mergeCell ref="C4:L4"/>
    <mergeCell ref="C5:L5"/>
    <mergeCell ref="P2:X2"/>
    <mergeCell ref="P3:X3"/>
    <mergeCell ref="P4:X4"/>
    <mergeCell ref="P5:X5"/>
  </mergeCells>
  <phoneticPr fontId="56" type="noConversion"/>
  <printOptions horizontalCentered="1"/>
  <pageMargins left="0.25" right="0.25" top="0.5" bottom="0.5" header="0.25" footer="0.25"/>
  <pageSetup scale="67" fitToWidth="0" orientation="landscape" r:id="rId1"/>
  <headerFooter scaleWithDoc="0">
    <oddFooter>&amp;C&amp;"Times New Roman,Regular"&amp;10&amp;A
Page &amp;P of &amp;N</oddFooter>
    <evenFooter>&amp;C&amp;"Times New Roman,Regular"&amp;10&amp;A
Page 1 of 2</evenFooter>
    <firstFooter>&amp;C&amp;"Times New Roman,Regular"&amp;10&amp;A
Page 1 of 2</firstFooter>
  </headerFooter>
  <colBreaks count="1" manualBreakCount="1">
    <brk id="13" max="1048575" man="1"/>
  </colBreaks>
  <customProperties>
    <customPr name="_pios_id" r:id="rId2"/>
  </customProperties>
  <ignoredErrors>
    <ignoredError sqref="X10" formulaRange="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K277"/>
  <sheetViews>
    <sheetView zoomScale="80" zoomScaleNormal="80" workbookViewId="0">
      <selection activeCell="N32" sqref="N32"/>
    </sheetView>
  </sheetViews>
  <sheetFormatPr defaultColWidth="8.7109375" defaultRowHeight="15.75" x14ac:dyDescent="0.25"/>
  <cols>
    <col min="1" max="1" width="5.28515625" style="4" customWidth="1"/>
    <col min="2" max="2" width="55.42578125" style="31" customWidth="1"/>
    <col min="3" max="4" width="15.5703125" style="31" customWidth="1"/>
    <col min="5" max="5" width="1.5703125" style="31" customWidth="1"/>
    <col min="6" max="6" width="16.7109375" style="31" customWidth="1"/>
    <col min="7" max="7" width="1.5703125" style="31" customWidth="1"/>
    <col min="8" max="8" width="38.7109375" style="255" customWidth="1"/>
    <col min="9" max="9" width="5.28515625" style="31" customWidth="1"/>
    <col min="10" max="10" width="16.28515625" style="31" bestFit="1" customWidth="1"/>
    <col min="11" max="11" width="10.42578125" style="31" bestFit="1" customWidth="1"/>
    <col min="12" max="16384" width="8.7109375" style="31"/>
  </cols>
  <sheetData>
    <row r="2" spans="1:11" x14ac:dyDescent="0.25">
      <c r="B2" s="1316" t="s">
        <v>0</v>
      </c>
      <c r="C2" s="1316"/>
      <c r="D2" s="1316"/>
      <c r="E2" s="1316"/>
      <c r="F2" s="1316"/>
      <c r="G2" s="1316"/>
      <c r="H2" s="1316"/>
      <c r="I2" s="4"/>
    </row>
    <row r="3" spans="1:11" x14ac:dyDescent="0.25">
      <c r="B3" s="1316" t="s">
        <v>984</v>
      </c>
      <c r="C3" s="1316"/>
      <c r="D3" s="1316"/>
      <c r="E3" s="1316"/>
      <c r="F3" s="1316"/>
      <c r="G3" s="1316"/>
      <c r="H3" s="1316"/>
      <c r="I3" s="4"/>
    </row>
    <row r="4" spans="1:11" x14ac:dyDescent="0.25">
      <c r="B4" s="1316" t="s">
        <v>985</v>
      </c>
      <c r="C4" s="1316"/>
      <c r="D4" s="1316"/>
      <c r="E4" s="1316"/>
      <c r="F4" s="1316"/>
      <c r="G4" s="1316"/>
      <c r="H4" s="1316"/>
      <c r="I4" s="4"/>
    </row>
    <row r="5" spans="1:11" x14ac:dyDescent="0.25">
      <c r="B5" s="1318" t="str">
        <f>'Stmt AD'!B5</f>
        <v>Base Period &amp; True-Up Period 12 - Months Ending December 31, 2025</v>
      </c>
      <c r="C5" s="1318"/>
      <c r="D5" s="1318"/>
      <c r="E5" s="1318"/>
      <c r="F5" s="1318"/>
      <c r="G5" s="1318"/>
      <c r="H5" s="1318"/>
      <c r="I5" s="4"/>
    </row>
    <row r="6" spans="1:11" x14ac:dyDescent="0.25">
      <c r="B6" s="1312" t="s">
        <v>4</v>
      </c>
      <c r="C6" s="1313"/>
      <c r="D6" s="1313"/>
      <c r="E6" s="1313"/>
      <c r="F6" s="1313"/>
      <c r="G6" s="1313"/>
      <c r="H6" s="1313"/>
      <c r="I6" s="4"/>
    </row>
    <row r="7" spans="1:11" x14ac:dyDescent="0.25">
      <c r="B7" s="4"/>
      <c r="C7" s="4"/>
      <c r="D7" s="4"/>
      <c r="E7" s="4"/>
      <c r="F7" s="4"/>
      <c r="G7" s="4"/>
      <c r="H7" s="90"/>
      <c r="I7" s="4"/>
    </row>
    <row r="8" spans="1:11" x14ac:dyDescent="0.25">
      <c r="A8" s="4" t="s">
        <v>5</v>
      </c>
      <c r="B8" s="217"/>
      <c r="C8" s="217"/>
      <c r="D8" s="4" t="s">
        <v>210</v>
      </c>
      <c r="E8" s="217"/>
      <c r="F8" s="217"/>
      <c r="G8" s="217"/>
      <c r="H8" s="90"/>
      <c r="I8" s="4" t="s">
        <v>5</v>
      </c>
    </row>
    <row r="9" spans="1:11" x14ac:dyDescent="0.25">
      <c r="A9" s="4" t="s">
        <v>6</v>
      </c>
      <c r="B9" s="4"/>
      <c r="C9" s="4"/>
      <c r="D9" s="848" t="s">
        <v>212</v>
      </c>
      <c r="E9" s="4"/>
      <c r="F9" s="849" t="s">
        <v>7</v>
      </c>
      <c r="G9" s="217"/>
      <c r="H9" s="850" t="s">
        <v>8</v>
      </c>
      <c r="I9" s="4" t="s">
        <v>6</v>
      </c>
    </row>
    <row r="10" spans="1:11" x14ac:dyDescent="0.25">
      <c r="B10" s="4"/>
      <c r="C10" s="4"/>
      <c r="D10" s="4"/>
      <c r="E10" s="4"/>
      <c r="F10" s="4"/>
      <c r="G10" s="4"/>
      <c r="H10" s="90"/>
      <c r="I10" s="4"/>
    </row>
    <row r="11" spans="1:11" x14ac:dyDescent="0.25">
      <c r="A11" s="4">
        <v>1</v>
      </c>
      <c r="B11" s="250" t="s">
        <v>986</v>
      </c>
      <c r="H11" s="90"/>
      <c r="I11" s="4">
        <f>A11</f>
        <v>1</v>
      </c>
    </row>
    <row r="12" spans="1:11" x14ac:dyDescent="0.25">
      <c r="A12" s="4">
        <f>A11+1</f>
        <v>2</v>
      </c>
      <c r="B12" s="31" t="s">
        <v>987</v>
      </c>
      <c r="D12" s="4" t="s">
        <v>988</v>
      </c>
      <c r="F12" s="40">
        <v>9800000</v>
      </c>
      <c r="G12" s="217"/>
      <c r="H12" s="462"/>
      <c r="I12" s="4">
        <f>I11+1</f>
        <v>2</v>
      </c>
    </row>
    <row r="13" spans="1:11" x14ac:dyDescent="0.25">
      <c r="A13" s="4">
        <f t="shared" ref="A13:A77" si="0">A12+1</f>
        <v>3</v>
      </c>
      <c r="B13" s="31" t="s">
        <v>989</v>
      </c>
      <c r="D13" s="4" t="s">
        <v>990</v>
      </c>
      <c r="F13" s="42">
        <v>0</v>
      </c>
      <c r="G13" s="217"/>
      <c r="H13" s="462"/>
      <c r="I13" s="4">
        <f t="shared" ref="I13:I77" si="1">I12+1</f>
        <v>3</v>
      </c>
    </row>
    <row r="14" spans="1:11" x14ac:dyDescent="0.25">
      <c r="A14" s="4">
        <f t="shared" si="0"/>
        <v>4</v>
      </c>
      <c r="B14" s="31" t="s">
        <v>991</v>
      </c>
      <c r="D14" s="4" t="s">
        <v>992</v>
      </c>
      <c r="F14" s="905">
        <v>0</v>
      </c>
      <c r="G14" s="217"/>
      <c r="H14" s="462"/>
      <c r="I14" s="4">
        <f t="shared" si="1"/>
        <v>4</v>
      </c>
    </row>
    <row r="15" spans="1:11" x14ac:dyDescent="0.25">
      <c r="A15" s="4">
        <f t="shared" si="0"/>
        <v>5</v>
      </c>
      <c r="B15" s="31" t="s">
        <v>1772</v>
      </c>
      <c r="D15" s="4"/>
      <c r="F15" s="1252">
        <f>SUM(F12:F14)</f>
        <v>9800000</v>
      </c>
      <c r="G15" s="217"/>
      <c r="H15" s="90" t="s">
        <v>1498</v>
      </c>
      <c r="I15" s="4">
        <f t="shared" ref="I15" si="2">I14+1</f>
        <v>5</v>
      </c>
      <c r="J15" s="357"/>
      <c r="K15" s="276"/>
    </row>
    <row r="16" spans="1:11" x14ac:dyDescent="0.25">
      <c r="A16" s="4">
        <f t="shared" si="0"/>
        <v>6</v>
      </c>
      <c r="B16" s="31" t="s">
        <v>993</v>
      </c>
      <c r="D16" s="4" t="s">
        <v>994</v>
      </c>
      <c r="F16" s="42">
        <v>0</v>
      </c>
      <c r="G16" s="217"/>
      <c r="H16" s="462"/>
      <c r="I16" s="4">
        <f t="shared" ref="I16" si="3">I15+1</f>
        <v>6</v>
      </c>
      <c r="J16" s="357"/>
    </row>
    <row r="17" spans="1:11" x14ac:dyDescent="0.25">
      <c r="A17" s="4">
        <f t="shared" si="0"/>
        <v>7</v>
      </c>
      <c r="B17" s="31" t="s">
        <v>995</v>
      </c>
      <c r="D17" s="4" t="s">
        <v>996</v>
      </c>
      <c r="F17" s="905">
        <v>-33062.921999999999</v>
      </c>
      <c r="G17" s="217"/>
      <c r="H17" s="462"/>
      <c r="I17" s="4">
        <f t="shared" ref="I17" si="4">I16+1</f>
        <v>7</v>
      </c>
      <c r="J17" s="357"/>
    </row>
    <row r="18" spans="1:11" x14ac:dyDescent="0.25">
      <c r="A18" s="4">
        <f t="shared" si="0"/>
        <v>8</v>
      </c>
      <c r="B18" s="31" t="s">
        <v>1882</v>
      </c>
      <c r="F18" s="1110">
        <f>SUM(F15:F17)</f>
        <v>9766937.0779999997</v>
      </c>
      <c r="G18" s="35"/>
      <c r="H18" s="90" t="s">
        <v>1883</v>
      </c>
      <c r="I18" s="4">
        <f t="shared" ref="I18" si="5">I17+1</f>
        <v>8</v>
      </c>
      <c r="J18" s="357"/>
      <c r="K18" s="276"/>
    </row>
    <row r="19" spans="1:11" x14ac:dyDescent="0.25">
      <c r="A19" s="4">
        <f t="shared" si="0"/>
        <v>9</v>
      </c>
      <c r="H19" s="90"/>
      <c r="I19" s="4">
        <f t="shared" ref="I19" si="6">I18+1</f>
        <v>9</v>
      </c>
      <c r="J19" s="357"/>
    </row>
    <row r="20" spans="1:11" x14ac:dyDescent="0.25">
      <c r="A20" s="4">
        <f t="shared" si="0"/>
        <v>10</v>
      </c>
      <c r="B20" s="250" t="s">
        <v>997</v>
      </c>
      <c r="F20" s="6"/>
      <c r="G20" s="6"/>
      <c r="H20" s="90"/>
      <c r="I20" s="4">
        <f t="shared" si="1"/>
        <v>10</v>
      </c>
      <c r="J20" s="357"/>
    </row>
    <row r="21" spans="1:11" x14ac:dyDescent="0.25">
      <c r="A21" s="4">
        <f t="shared" si="0"/>
        <v>11</v>
      </c>
      <c r="B21" s="31" t="s">
        <v>998</v>
      </c>
      <c r="D21" s="4" t="s">
        <v>999</v>
      </c>
      <c r="F21" s="40">
        <v>401800</v>
      </c>
      <c r="G21" s="217"/>
      <c r="H21" s="462"/>
      <c r="I21" s="4">
        <f t="shared" si="1"/>
        <v>11</v>
      </c>
      <c r="J21" s="357"/>
    </row>
    <row r="22" spans="1:11" x14ac:dyDescent="0.25">
      <c r="A22" s="4">
        <f t="shared" si="0"/>
        <v>12</v>
      </c>
      <c r="B22" s="31" t="s">
        <v>1000</v>
      </c>
      <c r="D22" s="4" t="s">
        <v>1001</v>
      </c>
      <c r="F22" s="42">
        <v>7946.9970000000003</v>
      </c>
      <c r="G22" s="217"/>
      <c r="H22" s="462"/>
      <c r="I22" s="4">
        <f t="shared" si="1"/>
        <v>12</v>
      </c>
      <c r="J22" s="357"/>
    </row>
    <row r="23" spans="1:11" x14ac:dyDescent="0.25">
      <c r="A23" s="4">
        <f t="shared" si="0"/>
        <v>13</v>
      </c>
      <c r="B23" s="31" t="s">
        <v>1002</v>
      </c>
      <c r="D23" s="4" t="s">
        <v>1003</v>
      </c>
      <c r="F23" s="42">
        <v>672.17100000000005</v>
      </c>
      <c r="G23" s="217"/>
      <c r="H23" s="462"/>
      <c r="I23" s="4">
        <f t="shared" si="1"/>
        <v>13</v>
      </c>
      <c r="J23" s="357"/>
    </row>
    <row r="24" spans="1:11" x14ac:dyDescent="0.25">
      <c r="A24" s="4">
        <f t="shared" si="0"/>
        <v>14</v>
      </c>
      <c r="B24" s="31" t="s">
        <v>1004</v>
      </c>
      <c r="D24" s="4" t="s">
        <v>1005</v>
      </c>
      <c r="F24" s="42">
        <v>0</v>
      </c>
      <c r="G24" s="217"/>
      <c r="H24" s="462"/>
      <c r="I24" s="4">
        <f t="shared" si="1"/>
        <v>14</v>
      </c>
      <c r="J24" s="357"/>
    </row>
    <row r="25" spans="1:11" x14ac:dyDescent="0.25">
      <c r="A25" s="4">
        <f t="shared" si="0"/>
        <v>15</v>
      </c>
      <c r="B25" s="31" t="s">
        <v>1006</v>
      </c>
      <c r="D25" s="4" t="s">
        <v>1007</v>
      </c>
      <c r="F25" s="905">
        <v>0</v>
      </c>
      <c r="G25" s="217"/>
      <c r="H25" s="462"/>
      <c r="I25" s="4">
        <f t="shared" si="1"/>
        <v>15</v>
      </c>
      <c r="J25" s="357"/>
    </row>
    <row r="26" spans="1:11" x14ac:dyDescent="0.25">
      <c r="A26" s="4">
        <f t="shared" si="0"/>
        <v>16</v>
      </c>
      <c r="B26" s="31" t="s">
        <v>1008</v>
      </c>
      <c r="F26" s="1051">
        <f>SUM(F21:F25)</f>
        <v>410419.16799999995</v>
      </c>
      <c r="G26" s="48"/>
      <c r="H26" s="90" t="s">
        <v>1884</v>
      </c>
      <c r="I26" s="4">
        <f t="shared" si="1"/>
        <v>16</v>
      </c>
      <c r="J26" s="357"/>
    </row>
    <row r="27" spans="1:11" x14ac:dyDescent="0.25">
      <c r="A27" s="4">
        <f t="shared" si="0"/>
        <v>17</v>
      </c>
      <c r="H27" s="90"/>
      <c r="I27" s="4">
        <f t="shared" si="1"/>
        <v>17</v>
      </c>
      <c r="J27" s="357"/>
    </row>
    <row r="28" spans="1:11" ht="16.5" thickBot="1" x14ac:dyDescent="0.3">
      <c r="A28" s="4">
        <f t="shared" si="0"/>
        <v>18</v>
      </c>
      <c r="B28" s="250" t="s">
        <v>1010</v>
      </c>
      <c r="F28" s="51">
        <f>IFERROR(F26/F18,0)</f>
        <v>4.2021276959433682E-2</v>
      </c>
      <c r="G28" s="27"/>
      <c r="H28" s="90" t="s">
        <v>1885</v>
      </c>
      <c r="I28" s="4">
        <f t="shared" si="1"/>
        <v>18</v>
      </c>
      <c r="J28" s="357"/>
      <c r="K28" s="276"/>
    </row>
    <row r="29" spans="1:11" ht="17.25" thickTop="1" thickBot="1" x14ac:dyDescent="0.3">
      <c r="A29" s="861">
        <f>A28+1</f>
        <v>19</v>
      </c>
      <c r="B29" s="862"/>
      <c r="C29" s="862"/>
      <c r="D29" s="862"/>
      <c r="E29" s="862"/>
      <c r="F29" s="862"/>
      <c r="G29" s="862"/>
      <c r="H29" s="863"/>
      <c r="I29" s="861">
        <f>I28+1</f>
        <v>19</v>
      </c>
      <c r="J29" s="357"/>
    </row>
    <row r="30" spans="1:11" x14ac:dyDescent="0.25">
      <c r="A30" s="4">
        <f>A29+1</f>
        <v>20</v>
      </c>
      <c r="H30" s="90"/>
      <c r="I30" s="4">
        <f>I29+1</f>
        <v>20</v>
      </c>
      <c r="J30" s="357"/>
    </row>
    <row r="31" spans="1:11" ht="16.5" thickBot="1" x14ac:dyDescent="0.3">
      <c r="A31" s="4">
        <f>A30+1</f>
        <v>21</v>
      </c>
      <c r="B31" s="250" t="s">
        <v>1340</v>
      </c>
      <c r="C31" s="254"/>
      <c r="D31" s="254"/>
      <c r="E31" s="254"/>
      <c r="F31" s="1274">
        <v>0.1028</v>
      </c>
      <c r="G31" s="217"/>
      <c r="H31" s="4" t="s">
        <v>1925</v>
      </c>
      <c r="I31" s="4">
        <f>I30+1</f>
        <v>21</v>
      </c>
      <c r="J31" s="357"/>
      <c r="K31" s="276"/>
    </row>
    <row r="32" spans="1:11" ht="16.5" thickTop="1" x14ac:dyDescent="0.25">
      <c r="A32" s="4">
        <f t="shared" si="0"/>
        <v>22</v>
      </c>
      <c r="C32" s="34" t="s">
        <v>187</v>
      </c>
      <c r="D32" s="34" t="s">
        <v>188</v>
      </c>
      <c r="E32" s="34"/>
      <c r="F32" s="34" t="s">
        <v>1919</v>
      </c>
      <c r="G32" s="34"/>
      <c r="H32" s="90"/>
      <c r="I32" s="4">
        <f t="shared" si="1"/>
        <v>22</v>
      </c>
      <c r="J32" s="357"/>
      <c r="K32" s="276"/>
    </row>
    <row r="33" spans="1:11" x14ac:dyDescent="0.25">
      <c r="A33" s="4">
        <f t="shared" si="0"/>
        <v>23</v>
      </c>
      <c r="C33" s="4" t="s">
        <v>1028</v>
      </c>
      <c r="D33" s="4" t="s">
        <v>1029</v>
      </c>
      <c r="E33" s="4"/>
      <c r="F33" s="4" t="s">
        <v>1030</v>
      </c>
      <c r="G33" s="4"/>
      <c r="H33" s="90"/>
      <c r="I33" s="4">
        <f t="shared" si="1"/>
        <v>23</v>
      </c>
      <c r="J33" s="357"/>
    </row>
    <row r="34" spans="1:11" ht="18.75" x14ac:dyDescent="0.25">
      <c r="A34" s="4">
        <f t="shared" si="0"/>
        <v>24</v>
      </c>
      <c r="B34" s="250" t="s">
        <v>1031</v>
      </c>
      <c r="C34" s="848" t="s">
        <v>1923</v>
      </c>
      <c r="D34" s="848" t="s">
        <v>1034</v>
      </c>
      <c r="E34" s="848"/>
      <c r="F34" s="848" t="s">
        <v>1035</v>
      </c>
      <c r="G34" s="4"/>
      <c r="H34" s="90"/>
      <c r="I34" s="4">
        <f t="shared" si="1"/>
        <v>24</v>
      </c>
      <c r="J34" s="357"/>
    </row>
    <row r="35" spans="1:11" x14ac:dyDescent="0.25">
      <c r="A35" s="4">
        <f t="shared" si="0"/>
        <v>25</v>
      </c>
      <c r="H35" s="90"/>
      <c r="I35" s="4">
        <f t="shared" si="1"/>
        <v>25</v>
      </c>
      <c r="J35" s="357"/>
    </row>
    <row r="36" spans="1:11" x14ac:dyDescent="0.25">
      <c r="A36" s="4">
        <f t="shared" si="0"/>
        <v>26</v>
      </c>
      <c r="B36" s="31" t="s">
        <v>1886</v>
      </c>
      <c r="C36" s="27">
        <v>0.46</v>
      </c>
      <c r="D36" s="132">
        <f>F28</f>
        <v>4.2021276959433682E-2</v>
      </c>
      <c r="F36" s="27">
        <f>C36*D36</f>
        <v>1.9329787401339494E-2</v>
      </c>
      <c r="G36" s="27"/>
      <c r="H36" s="90" t="s">
        <v>1926</v>
      </c>
      <c r="I36" s="4">
        <f t="shared" si="1"/>
        <v>26</v>
      </c>
      <c r="J36" s="357"/>
      <c r="K36" s="276"/>
    </row>
    <row r="37" spans="1:11" x14ac:dyDescent="0.25">
      <c r="A37" s="4">
        <f t="shared" si="0"/>
        <v>27</v>
      </c>
      <c r="B37" s="31" t="s">
        <v>1040</v>
      </c>
      <c r="C37" s="1052">
        <v>0.54</v>
      </c>
      <c r="D37" s="1183">
        <f>F31</f>
        <v>0.1028</v>
      </c>
      <c r="F37" s="1052">
        <f>C37*D37</f>
        <v>5.5512000000000006E-2</v>
      </c>
      <c r="G37" s="27"/>
      <c r="H37" s="90" t="s">
        <v>1927</v>
      </c>
      <c r="I37" s="4">
        <f t="shared" si="1"/>
        <v>27</v>
      </c>
      <c r="J37" s="357"/>
      <c r="K37" s="276"/>
    </row>
    <row r="38" spans="1:11" ht="16.5" thickBot="1" x14ac:dyDescent="0.3">
      <c r="A38" s="4">
        <f t="shared" si="0"/>
        <v>28</v>
      </c>
      <c r="B38" s="31" t="s">
        <v>1042</v>
      </c>
      <c r="C38" s="51">
        <f>SUM(C36:C37)</f>
        <v>1</v>
      </c>
      <c r="F38" s="51">
        <f>SUM(F36:F37)</f>
        <v>7.4841787401339496E-2</v>
      </c>
      <c r="G38" s="27"/>
      <c r="H38" s="90" t="s">
        <v>1921</v>
      </c>
      <c r="I38" s="4">
        <f t="shared" si="1"/>
        <v>28</v>
      </c>
      <c r="J38" s="357"/>
    </row>
    <row r="39" spans="1:11" ht="16.5" thickTop="1" x14ac:dyDescent="0.25">
      <c r="A39" s="4">
        <f t="shared" si="0"/>
        <v>29</v>
      </c>
      <c r="H39" s="90"/>
      <c r="I39" s="4">
        <f t="shared" si="1"/>
        <v>29</v>
      </c>
      <c r="J39" s="357"/>
    </row>
    <row r="40" spans="1:11" ht="16.5" thickBot="1" x14ac:dyDescent="0.3">
      <c r="A40" s="4">
        <f t="shared" si="0"/>
        <v>30</v>
      </c>
      <c r="B40" s="31" t="s">
        <v>1944</v>
      </c>
      <c r="F40" s="51">
        <f>F37</f>
        <v>5.5512000000000006E-2</v>
      </c>
      <c r="G40" s="27"/>
      <c r="H40" s="90" t="s">
        <v>1928</v>
      </c>
      <c r="I40" s="4">
        <f t="shared" si="1"/>
        <v>30</v>
      </c>
      <c r="J40" s="357"/>
    </row>
    <row r="41" spans="1:11" ht="17.25" thickTop="1" thickBot="1" x14ac:dyDescent="0.3">
      <c r="A41" s="861">
        <f t="shared" si="0"/>
        <v>31</v>
      </c>
      <c r="B41" s="862"/>
      <c r="C41" s="862"/>
      <c r="D41" s="862"/>
      <c r="E41" s="862"/>
      <c r="F41" s="862"/>
      <c r="G41" s="862"/>
      <c r="H41" s="863"/>
      <c r="I41" s="861">
        <f t="shared" si="1"/>
        <v>31</v>
      </c>
      <c r="J41" s="357"/>
    </row>
    <row r="42" spans="1:11" x14ac:dyDescent="0.25">
      <c r="A42" s="4">
        <f t="shared" si="0"/>
        <v>32</v>
      </c>
      <c r="H42" s="90"/>
      <c r="I42" s="4">
        <f t="shared" si="1"/>
        <v>32</v>
      </c>
      <c r="J42" s="357"/>
    </row>
    <row r="43" spans="1:11" ht="19.5" thickBot="1" x14ac:dyDescent="0.3">
      <c r="A43" s="4">
        <f t="shared" si="0"/>
        <v>33</v>
      </c>
      <c r="B43" s="250" t="s">
        <v>1984</v>
      </c>
      <c r="F43" s="131">
        <v>0</v>
      </c>
      <c r="H43" s="4" t="s">
        <v>1925</v>
      </c>
      <c r="I43" s="4">
        <f t="shared" si="1"/>
        <v>33</v>
      </c>
      <c r="J43" s="357"/>
      <c r="K43" s="276"/>
    </row>
    <row r="44" spans="1:11" ht="16.5" thickTop="1" x14ac:dyDescent="0.25">
      <c r="A44" s="4">
        <f t="shared" si="0"/>
        <v>34</v>
      </c>
      <c r="C44" s="34" t="s">
        <v>187</v>
      </c>
      <c r="D44" s="34" t="s">
        <v>188</v>
      </c>
      <c r="E44" s="34"/>
      <c r="F44" s="34" t="s">
        <v>1919</v>
      </c>
      <c r="H44" s="90"/>
      <c r="I44" s="4">
        <f t="shared" si="1"/>
        <v>34</v>
      </c>
      <c r="J44" s="357"/>
      <c r="K44" s="276"/>
    </row>
    <row r="45" spans="1:11" x14ac:dyDescent="0.25">
      <c r="A45" s="4">
        <f t="shared" si="0"/>
        <v>35</v>
      </c>
      <c r="C45" s="4" t="s">
        <v>1028</v>
      </c>
      <c r="D45" s="4" t="s">
        <v>1029</v>
      </c>
      <c r="E45" s="4"/>
      <c r="F45" s="4" t="s">
        <v>1030</v>
      </c>
      <c r="H45" s="90"/>
      <c r="I45" s="4">
        <f t="shared" si="1"/>
        <v>35</v>
      </c>
      <c r="J45" s="357"/>
    </row>
    <row r="46" spans="1:11" ht="18.75" x14ac:dyDescent="0.25">
      <c r="A46" s="4">
        <f t="shared" si="0"/>
        <v>36</v>
      </c>
      <c r="B46" s="250" t="s">
        <v>1031</v>
      </c>
      <c r="C46" s="848" t="s">
        <v>1923</v>
      </c>
      <c r="D46" s="848" t="s">
        <v>1034</v>
      </c>
      <c r="E46" s="848"/>
      <c r="F46" s="848" t="s">
        <v>1035</v>
      </c>
      <c r="H46" s="90"/>
      <c r="I46" s="4">
        <f t="shared" si="1"/>
        <v>36</v>
      </c>
      <c r="J46" s="357"/>
    </row>
    <row r="47" spans="1:11" x14ac:dyDescent="0.25">
      <c r="A47" s="4">
        <f t="shared" si="0"/>
        <v>37</v>
      </c>
      <c r="H47" s="90"/>
      <c r="I47" s="4">
        <f t="shared" si="1"/>
        <v>37</v>
      </c>
      <c r="J47" s="357"/>
    </row>
    <row r="48" spans="1:11" x14ac:dyDescent="0.25">
      <c r="A48" s="4">
        <f t="shared" si="0"/>
        <v>38</v>
      </c>
      <c r="B48" s="31" t="s">
        <v>1886</v>
      </c>
      <c r="C48" s="27">
        <v>0.46</v>
      </c>
      <c r="D48" s="1119">
        <v>0</v>
      </c>
      <c r="F48" s="27">
        <f>C48*D48</f>
        <v>0</v>
      </c>
      <c r="H48" s="90" t="s">
        <v>1530</v>
      </c>
      <c r="I48" s="4">
        <f t="shared" si="1"/>
        <v>38</v>
      </c>
      <c r="J48" s="357"/>
    </row>
    <row r="49" spans="1:11" x14ac:dyDescent="0.25">
      <c r="A49" s="4">
        <f t="shared" si="0"/>
        <v>39</v>
      </c>
      <c r="B49" s="31" t="s">
        <v>1040</v>
      </c>
      <c r="C49" s="1052">
        <v>0.54</v>
      </c>
      <c r="D49" s="1183">
        <f>F43</f>
        <v>0</v>
      </c>
      <c r="F49" s="1052">
        <f>C49*D49</f>
        <v>0</v>
      </c>
      <c r="H49" s="90" t="s">
        <v>1929</v>
      </c>
      <c r="I49" s="4">
        <f t="shared" si="1"/>
        <v>39</v>
      </c>
      <c r="J49" s="357"/>
      <c r="K49" s="254"/>
    </row>
    <row r="50" spans="1:11" ht="16.5" thickBot="1" x14ac:dyDescent="0.3">
      <c r="A50" s="4">
        <f t="shared" si="0"/>
        <v>40</v>
      </c>
      <c r="B50" s="31" t="s">
        <v>1042</v>
      </c>
      <c r="C50" s="51">
        <f>SUM(C48:C49)</f>
        <v>1</v>
      </c>
      <c r="F50" s="51">
        <f>SUM(F48:F49)</f>
        <v>0</v>
      </c>
      <c r="H50" s="90" t="s">
        <v>1930</v>
      </c>
      <c r="I50" s="4">
        <f t="shared" si="1"/>
        <v>40</v>
      </c>
      <c r="J50" s="357"/>
      <c r="K50" s="254"/>
    </row>
    <row r="51" spans="1:11" ht="16.5" thickTop="1" x14ac:dyDescent="0.25">
      <c r="A51" s="4">
        <f t="shared" si="0"/>
        <v>41</v>
      </c>
      <c r="H51" s="90"/>
      <c r="I51" s="4">
        <f t="shared" si="1"/>
        <v>41</v>
      </c>
      <c r="J51" s="357"/>
    </row>
    <row r="52" spans="1:11" ht="16.5" thickBot="1" x14ac:dyDescent="0.3">
      <c r="A52" s="4">
        <f t="shared" si="0"/>
        <v>42</v>
      </c>
      <c r="B52" s="250" t="s">
        <v>1545</v>
      </c>
      <c r="F52" s="1184">
        <f>F49</f>
        <v>0</v>
      </c>
      <c r="H52" s="90" t="s">
        <v>1937</v>
      </c>
      <c r="I52" s="4">
        <f t="shared" si="1"/>
        <v>42</v>
      </c>
      <c r="J52" s="357"/>
      <c r="K52" s="254"/>
    </row>
    <row r="53" spans="1:11" ht="16.5" thickTop="1" x14ac:dyDescent="0.25">
      <c r="B53" s="250"/>
      <c r="F53" s="27"/>
      <c r="H53" s="90"/>
      <c r="I53" s="4"/>
    </row>
    <row r="54" spans="1:11" x14ac:dyDescent="0.25">
      <c r="F54" s="27"/>
      <c r="G54" s="27"/>
      <c r="H54" s="90"/>
      <c r="I54" s="4"/>
    </row>
    <row r="55" spans="1:11" ht="18.75" x14ac:dyDescent="0.25">
      <c r="A55" s="265">
        <v>1</v>
      </c>
      <c r="B55" s="31" t="s">
        <v>1920</v>
      </c>
      <c r="F55" s="27"/>
      <c r="G55" s="27"/>
      <c r="H55" s="90"/>
      <c r="I55" s="4"/>
    </row>
    <row r="56" spans="1:11" ht="18.75" x14ac:dyDescent="0.25">
      <c r="A56" s="265">
        <v>2</v>
      </c>
      <c r="B56" s="1341" t="s">
        <v>1986</v>
      </c>
      <c r="C56" s="1341"/>
      <c r="D56" s="1341"/>
      <c r="E56" s="1341"/>
      <c r="F56" s="1341"/>
      <c r="G56" s="1341"/>
      <c r="H56" s="1341"/>
      <c r="I56" s="4"/>
    </row>
    <row r="57" spans="1:11" ht="18.75" x14ac:dyDescent="0.25">
      <c r="A57" s="1276"/>
      <c r="B57" s="1341"/>
      <c r="C57" s="1341"/>
      <c r="D57" s="1341"/>
      <c r="E57" s="1341"/>
      <c r="F57" s="1341"/>
      <c r="G57" s="1341"/>
      <c r="H57" s="1341"/>
      <c r="I57" s="4"/>
    </row>
    <row r="58" spans="1:11" x14ac:dyDescent="0.25">
      <c r="F58" s="27"/>
      <c r="G58" s="27"/>
      <c r="H58" s="90"/>
      <c r="I58" s="4"/>
    </row>
    <row r="59" spans="1:11" x14ac:dyDescent="0.25">
      <c r="B59" s="1316" t="s">
        <v>0</v>
      </c>
      <c r="C59" s="1316"/>
      <c r="D59" s="1316"/>
      <c r="E59" s="1316"/>
      <c r="F59" s="1316"/>
      <c r="G59" s="1316"/>
      <c r="H59" s="1316"/>
      <c r="I59" s="4"/>
    </row>
    <row r="60" spans="1:11" x14ac:dyDescent="0.25">
      <c r="B60" s="1316" t="s">
        <v>984</v>
      </c>
      <c r="C60" s="1316"/>
      <c r="D60" s="1316"/>
      <c r="E60" s="1316"/>
      <c r="F60" s="1316"/>
      <c r="G60" s="1316"/>
      <c r="H60" s="1316"/>
      <c r="I60" s="4"/>
    </row>
    <row r="61" spans="1:11" x14ac:dyDescent="0.25">
      <c r="B61" s="1316" t="s">
        <v>985</v>
      </c>
      <c r="C61" s="1316"/>
      <c r="D61" s="1316"/>
      <c r="E61" s="1316"/>
      <c r="F61" s="1316"/>
      <c r="G61" s="1316"/>
      <c r="H61" s="1316"/>
      <c r="I61" s="4"/>
    </row>
    <row r="62" spans="1:11" x14ac:dyDescent="0.25">
      <c r="B62" s="1318" t="str">
        <f>B5</f>
        <v>Base Period &amp; True-Up Period 12 - Months Ending December 31, 2025</v>
      </c>
      <c r="C62" s="1318"/>
      <c r="D62" s="1318"/>
      <c r="E62" s="1318"/>
      <c r="F62" s="1318"/>
      <c r="G62" s="1318"/>
      <c r="H62" s="1318"/>
      <c r="I62" s="4"/>
    </row>
    <row r="63" spans="1:11" x14ac:dyDescent="0.25">
      <c r="B63" s="1312" t="s">
        <v>4</v>
      </c>
      <c r="C63" s="1313"/>
      <c r="D63" s="1313"/>
      <c r="E63" s="1313"/>
      <c r="F63" s="1313"/>
      <c r="G63" s="1313"/>
      <c r="H63" s="1313"/>
      <c r="I63" s="4"/>
    </row>
    <row r="64" spans="1:11" x14ac:dyDescent="0.25">
      <c r="B64" s="4"/>
      <c r="C64" s="4"/>
      <c r="D64" s="4"/>
      <c r="E64" s="4"/>
      <c r="F64" s="4"/>
      <c r="G64" s="4"/>
      <c r="H64" s="90"/>
      <c r="I64" s="4"/>
    </row>
    <row r="65" spans="1:9" x14ac:dyDescent="0.25">
      <c r="A65" s="4" t="s">
        <v>5</v>
      </c>
      <c r="B65" s="217"/>
      <c r="C65" s="217"/>
      <c r="D65" s="4" t="s">
        <v>210</v>
      </c>
      <c r="E65" s="217"/>
      <c r="F65" s="217"/>
      <c r="G65" s="217"/>
      <c r="H65" s="90"/>
      <c r="I65" s="4" t="s">
        <v>5</v>
      </c>
    </row>
    <row r="66" spans="1:9" x14ac:dyDescent="0.25">
      <c r="A66" s="4" t="s">
        <v>6</v>
      </c>
      <c r="B66" s="4"/>
      <c r="C66" s="4"/>
      <c r="D66" s="848" t="s">
        <v>212</v>
      </c>
      <c r="E66" s="4"/>
      <c r="F66" s="849" t="s">
        <v>7</v>
      </c>
      <c r="G66" s="217"/>
      <c r="H66" s="850" t="s">
        <v>8</v>
      </c>
      <c r="I66" s="4" t="s">
        <v>6</v>
      </c>
    </row>
    <row r="67" spans="1:9" x14ac:dyDescent="0.25">
      <c r="F67" s="27"/>
      <c r="G67" s="27"/>
      <c r="H67" s="90"/>
      <c r="I67" s="4"/>
    </row>
    <row r="68" spans="1:9" ht="19.5" thickBot="1" x14ac:dyDescent="0.3">
      <c r="A68" s="4">
        <v>1</v>
      </c>
      <c r="B68" s="250" t="s">
        <v>1535</v>
      </c>
      <c r="F68" s="131">
        <v>0</v>
      </c>
      <c r="G68" s="217"/>
      <c r="H68" s="420"/>
      <c r="I68" s="4">
        <v>1</v>
      </c>
    </row>
    <row r="69" spans="1:9" ht="16.5" thickTop="1" x14ac:dyDescent="0.25">
      <c r="A69" s="4">
        <f t="shared" si="0"/>
        <v>2</v>
      </c>
      <c r="C69" s="34" t="s">
        <v>187</v>
      </c>
      <c r="D69" s="34" t="s">
        <v>188</v>
      </c>
      <c r="E69" s="34"/>
      <c r="F69" s="34" t="s">
        <v>1919</v>
      </c>
      <c r="G69" s="34"/>
      <c r="H69" s="90"/>
      <c r="I69" s="4">
        <f t="shared" si="1"/>
        <v>2</v>
      </c>
    </row>
    <row r="70" spans="1:9" x14ac:dyDescent="0.25">
      <c r="A70" s="4">
        <f t="shared" si="0"/>
        <v>3</v>
      </c>
      <c r="C70" s="4" t="s">
        <v>1028</v>
      </c>
      <c r="D70" s="4" t="s">
        <v>1029</v>
      </c>
      <c r="E70" s="4"/>
      <c r="F70" s="4" t="s">
        <v>1030</v>
      </c>
      <c r="G70" s="4"/>
      <c r="H70" s="90"/>
      <c r="I70" s="4">
        <f t="shared" si="1"/>
        <v>3</v>
      </c>
    </row>
    <row r="71" spans="1:9" ht="18.75" x14ac:dyDescent="0.25">
      <c r="A71" s="4">
        <f t="shared" si="0"/>
        <v>4</v>
      </c>
      <c r="B71" s="250" t="s">
        <v>1046</v>
      </c>
      <c r="C71" s="848" t="s">
        <v>1887</v>
      </c>
      <c r="D71" s="848" t="s">
        <v>1034</v>
      </c>
      <c r="E71" s="848"/>
      <c r="F71" s="848" t="s">
        <v>1035</v>
      </c>
      <c r="G71" s="4"/>
      <c r="H71" s="90"/>
      <c r="I71" s="4">
        <f t="shared" si="1"/>
        <v>4</v>
      </c>
    </row>
    <row r="72" spans="1:9" x14ac:dyDescent="0.25">
      <c r="A72" s="4">
        <f t="shared" si="0"/>
        <v>5</v>
      </c>
      <c r="H72" s="90"/>
      <c r="I72" s="4">
        <f t="shared" si="1"/>
        <v>5</v>
      </c>
    </row>
    <row r="73" spans="1:9" x14ac:dyDescent="0.25">
      <c r="A73" s="4">
        <f t="shared" si="0"/>
        <v>6</v>
      </c>
      <c r="B73" s="31" t="s">
        <v>1886</v>
      </c>
      <c r="C73" s="27">
        <v>0.46</v>
      </c>
      <c r="D73" s="132">
        <f>F28</f>
        <v>4.2021276959433682E-2</v>
      </c>
      <c r="F73" s="27">
        <f>C73*D73</f>
        <v>1.9329787401339494E-2</v>
      </c>
      <c r="G73" s="27"/>
      <c r="H73" s="90" t="s">
        <v>1931</v>
      </c>
      <c r="I73" s="4">
        <f t="shared" si="1"/>
        <v>6</v>
      </c>
    </row>
    <row r="74" spans="1:9" x14ac:dyDescent="0.25">
      <c r="A74" s="4">
        <f t="shared" si="0"/>
        <v>7</v>
      </c>
      <c r="B74" s="31" t="s">
        <v>1040</v>
      </c>
      <c r="C74" s="1052">
        <v>0.54</v>
      </c>
      <c r="D74" s="1183">
        <f>F68</f>
        <v>0</v>
      </c>
      <c r="F74" s="1052">
        <f>C74*D74</f>
        <v>0</v>
      </c>
      <c r="G74" s="27"/>
      <c r="H74" s="90" t="s">
        <v>1932</v>
      </c>
      <c r="I74" s="4">
        <f t="shared" si="1"/>
        <v>7</v>
      </c>
    </row>
    <row r="75" spans="1:9" ht="16.5" thickBot="1" x14ac:dyDescent="0.3">
      <c r="A75" s="4">
        <f t="shared" si="0"/>
        <v>8</v>
      </c>
      <c r="B75" s="31" t="s">
        <v>1042</v>
      </c>
      <c r="C75" s="51">
        <f>SUM(C73:C74)</f>
        <v>1</v>
      </c>
      <c r="F75" s="51">
        <f>SUM(F73:F74)</f>
        <v>1.9329787401339494E-2</v>
      </c>
      <c r="G75" s="27"/>
      <c r="H75" s="90" t="s">
        <v>1971</v>
      </c>
      <c r="I75" s="4">
        <f t="shared" si="1"/>
        <v>8</v>
      </c>
    </row>
    <row r="76" spans="1:9" ht="16.5" thickTop="1" x14ac:dyDescent="0.25">
      <c r="A76" s="4">
        <f t="shared" si="0"/>
        <v>9</v>
      </c>
      <c r="H76" s="90"/>
      <c r="I76" s="4">
        <f t="shared" si="1"/>
        <v>9</v>
      </c>
    </row>
    <row r="77" spans="1:9" ht="16.5" thickBot="1" x14ac:dyDescent="0.3">
      <c r="A77" s="4">
        <f t="shared" si="0"/>
        <v>10</v>
      </c>
      <c r="B77" s="31" t="s">
        <v>1943</v>
      </c>
      <c r="F77" s="51">
        <f>F74</f>
        <v>0</v>
      </c>
      <c r="G77" s="27"/>
      <c r="H77" s="90" t="s">
        <v>1936</v>
      </c>
      <c r="I77" s="4">
        <f t="shared" si="1"/>
        <v>10</v>
      </c>
    </row>
    <row r="78" spans="1:9" ht="17.25" thickTop="1" thickBot="1" x14ac:dyDescent="0.3">
      <c r="A78" s="861">
        <f t="shared" ref="A78:A89" si="7">A77+1</f>
        <v>11</v>
      </c>
      <c r="B78" s="862"/>
      <c r="C78" s="862"/>
      <c r="D78" s="862"/>
      <c r="E78" s="862"/>
      <c r="F78" s="862"/>
      <c r="G78" s="862"/>
      <c r="H78" s="863"/>
      <c r="I78" s="861">
        <f t="shared" ref="I78:I89" si="8">I77+1</f>
        <v>11</v>
      </c>
    </row>
    <row r="79" spans="1:9" x14ac:dyDescent="0.25">
      <c r="A79" s="4">
        <f t="shared" si="7"/>
        <v>12</v>
      </c>
      <c r="H79" s="90"/>
      <c r="I79" s="4">
        <f t="shared" si="8"/>
        <v>12</v>
      </c>
    </row>
    <row r="80" spans="1:9" ht="19.5" thickBot="1" x14ac:dyDescent="0.3">
      <c r="A80" s="4">
        <f t="shared" si="7"/>
        <v>13</v>
      </c>
      <c r="B80" s="250" t="s">
        <v>1985</v>
      </c>
      <c r="F80" s="1277">
        <f>+F43</f>
        <v>0</v>
      </c>
      <c r="H80" s="4" t="s">
        <v>1987</v>
      </c>
      <c r="I80" s="4">
        <f t="shared" si="8"/>
        <v>13</v>
      </c>
    </row>
    <row r="81" spans="1:9" ht="16.5" thickTop="1" x14ac:dyDescent="0.25">
      <c r="A81" s="4">
        <f t="shared" si="7"/>
        <v>14</v>
      </c>
      <c r="C81" s="34" t="s">
        <v>187</v>
      </c>
      <c r="D81" s="34" t="s">
        <v>188</v>
      </c>
      <c r="E81" s="34"/>
      <c r="F81" s="34" t="s">
        <v>1919</v>
      </c>
      <c r="H81" s="90"/>
      <c r="I81" s="4">
        <f t="shared" si="8"/>
        <v>14</v>
      </c>
    </row>
    <row r="82" spans="1:9" x14ac:dyDescent="0.25">
      <c r="A82" s="4">
        <f t="shared" si="7"/>
        <v>15</v>
      </c>
      <c r="C82" s="4" t="s">
        <v>1028</v>
      </c>
      <c r="D82" s="4" t="s">
        <v>1029</v>
      </c>
      <c r="E82" s="4"/>
      <c r="F82" s="4" t="s">
        <v>1030</v>
      </c>
      <c r="H82" s="90"/>
      <c r="I82" s="4">
        <f t="shared" si="8"/>
        <v>15</v>
      </c>
    </row>
    <row r="83" spans="1:9" ht="18.75" x14ac:dyDescent="0.25">
      <c r="A83" s="4">
        <f t="shared" si="7"/>
        <v>16</v>
      </c>
      <c r="B83" s="250" t="s">
        <v>1031</v>
      </c>
      <c r="C83" s="848" t="s">
        <v>1887</v>
      </c>
      <c r="D83" s="848" t="s">
        <v>1034</v>
      </c>
      <c r="E83" s="848"/>
      <c r="F83" s="848" t="s">
        <v>1035</v>
      </c>
      <c r="H83" s="90"/>
      <c r="I83" s="4">
        <f t="shared" si="8"/>
        <v>16</v>
      </c>
    </row>
    <row r="84" spans="1:9" x14ac:dyDescent="0.25">
      <c r="A84" s="4">
        <f t="shared" si="7"/>
        <v>17</v>
      </c>
      <c r="H84" s="90"/>
      <c r="I84" s="4">
        <f t="shared" si="8"/>
        <v>17</v>
      </c>
    </row>
    <row r="85" spans="1:9" x14ac:dyDescent="0.25">
      <c r="A85" s="4">
        <f t="shared" si="7"/>
        <v>18</v>
      </c>
      <c r="B85" s="31" t="s">
        <v>1886</v>
      </c>
      <c r="C85" s="27">
        <v>0.46</v>
      </c>
      <c r="D85" s="1119">
        <v>0</v>
      </c>
      <c r="F85" s="27">
        <f>C85*D85</f>
        <v>0</v>
      </c>
      <c r="H85" s="90" t="s">
        <v>1530</v>
      </c>
      <c r="I85" s="4">
        <f t="shared" si="8"/>
        <v>18</v>
      </c>
    </row>
    <row r="86" spans="1:9" x14ac:dyDescent="0.25">
      <c r="A86" s="4">
        <f t="shared" si="7"/>
        <v>19</v>
      </c>
      <c r="B86" s="31" t="s">
        <v>1040</v>
      </c>
      <c r="C86" s="1052">
        <v>0.54</v>
      </c>
      <c r="D86" s="1183">
        <f>F80</f>
        <v>0</v>
      </c>
      <c r="F86" s="1052">
        <f>C86*D86</f>
        <v>0</v>
      </c>
      <c r="H86" s="90" t="s">
        <v>1933</v>
      </c>
      <c r="I86" s="4">
        <f t="shared" si="8"/>
        <v>19</v>
      </c>
    </row>
    <row r="87" spans="1:9" ht="16.5" thickBot="1" x14ac:dyDescent="0.3">
      <c r="A87" s="4">
        <f t="shared" si="7"/>
        <v>20</v>
      </c>
      <c r="B87" s="31" t="s">
        <v>1042</v>
      </c>
      <c r="C87" s="51">
        <f>SUM(C85:C86)</f>
        <v>1</v>
      </c>
      <c r="F87" s="51">
        <f>SUM(F85:F86)</f>
        <v>0</v>
      </c>
      <c r="H87" s="90" t="s">
        <v>1934</v>
      </c>
      <c r="I87" s="4">
        <f t="shared" si="8"/>
        <v>20</v>
      </c>
    </row>
    <row r="88" spans="1:9" ht="16.5" thickTop="1" x14ac:dyDescent="0.25">
      <c r="A88" s="4">
        <f t="shared" si="7"/>
        <v>21</v>
      </c>
      <c r="H88" s="90"/>
      <c r="I88" s="4">
        <f t="shared" si="8"/>
        <v>21</v>
      </c>
    </row>
    <row r="89" spans="1:9" ht="16.5" thickBot="1" x14ac:dyDescent="0.3">
      <c r="A89" s="4">
        <f t="shared" si="7"/>
        <v>22</v>
      </c>
      <c r="B89" s="250" t="s">
        <v>1545</v>
      </c>
      <c r="F89" s="1184">
        <f>F86</f>
        <v>0</v>
      </c>
      <c r="H89" s="90" t="s">
        <v>1935</v>
      </c>
      <c r="I89" s="4">
        <f t="shared" si="8"/>
        <v>22</v>
      </c>
    </row>
    <row r="90" spans="1:9" ht="16.5" thickTop="1" x14ac:dyDescent="0.25">
      <c r="B90" s="250"/>
      <c r="F90" s="27"/>
      <c r="H90" s="90"/>
      <c r="I90" s="4"/>
    </row>
    <row r="91" spans="1:9" x14ac:dyDescent="0.25">
      <c r="B91" s="250"/>
      <c r="F91" s="27"/>
      <c r="H91" s="90"/>
      <c r="I91" s="4"/>
    </row>
    <row r="92" spans="1:9" ht="18.75" x14ac:dyDescent="0.25">
      <c r="A92" s="265">
        <v>1</v>
      </c>
      <c r="B92" s="31" t="s">
        <v>1547</v>
      </c>
      <c r="F92" s="27"/>
      <c r="H92" s="90"/>
      <c r="I92" s="4"/>
    </row>
    <row r="93" spans="1:9" ht="18.75" x14ac:dyDescent="0.25">
      <c r="A93" s="265">
        <v>2</v>
      </c>
      <c r="B93" s="31" t="s">
        <v>1920</v>
      </c>
      <c r="F93" s="70"/>
      <c r="G93" s="70"/>
      <c r="I93" s="4"/>
    </row>
    <row r="94" spans="1:9" ht="18.75" x14ac:dyDescent="0.25">
      <c r="A94" s="265">
        <v>3</v>
      </c>
      <c r="B94" s="1341" t="s">
        <v>1986</v>
      </c>
      <c r="C94" s="1341"/>
      <c r="D94" s="1341"/>
      <c r="E94" s="1341"/>
      <c r="F94" s="1341"/>
      <c r="G94" s="1341"/>
      <c r="H94" s="1341"/>
      <c r="I94" s="4"/>
    </row>
    <row r="95" spans="1:9" ht="18.75" x14ac:dyDescent="0.25">
      <c r="A95" s="1276"/>
      <c r="B95" s="1341"/>
      <c r="C95" s="1341"/>
      <c r="D95" s="1341"/>
      <c r="E95" s="1341"/>
      <c r="F95" s="1341"/>
      <c r="G95" s="1341"/>
      <c r="H95" s="1341"/>
      <c r="I95" s="4"/>
    </row>
    <row r="96" spans="1:9" ht="18.75" x14ac:dyDescent="0.25">
      <c r="A96" s="265"/>
      <c r="F96" s="70"/>
      <c r="G96" s="70"/>
      <c r="I96" s="4"/>
    </row>
    <row r="97" spans="1:10" x14ac:dyDescent="0.25">
      <c r="B97" s="1316" t="s">
        <v>0</v>
      </c>
      <c r="C97" s="1316"/>
      <c r="D97" s="1316"/>
      <c r="E97" s="1316"/>
      <c r="F97" s="1316"/>
      <c r="G97" s="1316"/>
      <c r="H97" s="1316"/>
      <c r="I97" s="4"/>
    </row>
    <row r="98" spans="1:10" x14ac:dyDescent="0.25">
      <c r="B98" s="1316" t="s">
        <v>984</v>
      </c>
      <c r="C98" s="1316"/>
      <c r="D98" s="1316"/>
      <c r="E98" s="1316"/>
      <c r="F98" s="1316"/>
      <c r="G98" s="1316"/>
      <c r="H98" s="1316"/>
      <c r="I98" s="4"/>
    </row>
    <row r="99" spans="1:10" x14ac:dyDescent="0.25">
      <c r="B99" s="1316" t="s">
        <v>985</v>
      </c>
      <c r="C99" s="1316"/>
      <c r="D99" s="1316"/>
      <c r="E99" s="1316"/>
      <c r="F99" s="1316"/>
      <c r="G99" s="1316"/>
      <c r="H99" s="1316"/>
      <c r="I99" s="4"/>
    </row>
    <row r="100" spans="1:10" x14ac:dyDescent="0.25">
      <c r="B100" s="1318" t="str">
        <f>B5</f>
        <v>Base Period &amp; True-Up Period 12 - Months Ending December 31, 2025</v>
      </c>
      <c r="C100" s="1318"/>
      <c r="D100" s="1318"/>
      <c r="E100" s="1318"/>
      <c r="F100" s="1318"/>
      <c r="G100" s="1318"/>
      <c r="H100" s="1318"/>
      <c r="I100" s="4"/>
    </row>
    <row r="101" spans="1:10" x14ac:dyDescent="0.25">
      <c r="B101" s="1312" t="s">
        <v>4</v>
      </c>
      <c r="C101" s="1313"/>
      <c r="D101" s="1313"/>
      <c r="E101" s="1313"/>
      <c r="F101" s="1313"/>
      <c r="G101" s="1313"/>
      <c r="H101" s="1313"/>
      <c r="I101" s="4"/>
    </row>
    <row r="102" spans="1:10" x14ac:dyDescent="0.25">
      <c r="B102" s="4"/>
      <c r="C102" s="4"/>
      <c r="D102" s="4"/>
      <c r="E102" s="4"/>
      <c r="F102" s="4"/>
      <c r="G102" s="4"/>
      <c r="H102" s="90"/>
      <c r="I102" s="4"/>
    </row>
    <row r="103" spans="1:10" x14ac:dyDescent="0.25">
      <c r="A103" s="4" t="s">
        <v>5</v>
      </c>
      <c r="B103" s="217"/>
      <c r="C103" s="217"/>
      <c r="D103" s="217"/>
      <c r="E103" s="217"/>
      <c r="F103" s="217"/>
      <c r="G103" s="217"/>
      <c r="H103" s="90"/>
      <c r="I103" s="4" t="s">
        <v>5</v>
      </c>
    </row>
    <row r="104" spans="1:10" x14ac:dyDescent="0.25">
      <c r="A104" s="4" t="s">
        <v>6</v>
      </c>
      <c r="B104" s="4"/>
      <c r="C104" s="4"/>
      <c r="D104" s="4"/>
      <c r="E104" s="4"/>
      <c r="F104" s="848" t="s">
        <v>7</v>
      </c>
      <c r="G104" s="217"/>
      <c r="H104" s="850" t="s">
        <v>8</v>
      </c>
      <c r="I104" s="4" t="s">
        <v>6</v>
      </c>
    </row>
    <row r="105" spans="1:10" x14ac:dyDescent="0.25">
      <c r="F105" s="4"/>
      <c r="G105" s="4"/>
      <c r="H105" s="90"/>
      <c r="I105" s="4"/>
    </row>
    <row r="106" spans="1:10" ht="18.75" x14ac:dyDescent="0.25">
      <c r="A106" s="4">
        <v>1</v>
      </c>
      <c r="B106" s="250" t="s">
        <v>1548</v>
      </c>
      <c r="D106" s="217"/>
      <c r="E106" s="217"/>
      <c r="F106" s="41"/>
      <c r="G106" s="41"/>
      <c r="H106" s="90"/>
      <c r="I106" s="4">
        <v>1</v>
      </c>
    </row>
    <row r="107" spans="1:10" x14ac:dyDescent="0.25">
      <c r="A107" s="4">
        <f>A106+1</f>
        <v>2</v>
      </c>
      <c r="B107" s="33"/>
      <c r="D107" s="217"/>
      <c r="E107" s="217"/>
      <c r="F107" s="41"/>
      <c r="G107" s="41"/>
      <c r="H107" s="90"/>
      <c r="I107" s="4">
        <f>I106+1</f>
        <v>2</v>
      </c>
    </row>
    <row r="108" spans="1:10" x14ac:dyDescent="0.25">
      <c r="A108" s="4">
        <f>A107+1</f>
        <v>3</v>
      </c>
      <c r="B108" s="250" t="s">
        <v>1047</v>
      </c>
      <c r="D108" s="217"/>
      <c r="E108" s="217"/>
      <c r="F108" s="41"/>
      <c r="G108" s="41"/>
      <c r="H108" s="90"/>
      <c r="I108" s="4">
        <f>I107+1</f>
        <v>3</v>
      </c>
    </row>
    <row r="109" spans="1:10" x14ac:dyDescent="0.25">
      <c r="A109" s="4">
        <f>A108+1</f>
        <v>4</v>
      </c>
      <c r="B109" s="217"/>
      <c r="C109" s="217"/>
      <c r="D109" s="217"/>
      <c r="E109" s="217"/>
      <c r="F109" s="41"/>
      <c r="G109" s="41"/>
      <c r="H109" s="90"/>
      <c r="I109" s="4">
        <f>I108+1</f>
        <v>4</v>
      </c>
    </row>
    <row r="110" spans="1:10" x14ac:dyDescent="0.25">
      <c r="A110" s="4">
        <f t="shared" ref="A110:A174" si="9">A109+1</f>
        <v>5</v>
      </c>
      <c r="B110" s="32" t="s">
        <v>1048</v>
      </c>
      <c r="C110" s="217"/>
      <c r="D110" s="217"/>
      <c r="E110" s="217"/>
      <c r="F110" s="41"/>
      <c r="G110" s="41"/>
      <c r="H110" s="463"/>
      <c r="I110" s="4">
        <f t="shared" ref="I110:I174" si="10">I109+1</f>
        <v>5</v>
      </c>
    </row>
    <row r="111" spans="1:10" x14ac:dyDescent="0.25">
      <c r="A111" s="4">
        <f t="shared" si="9"/>
        <v>6</v>
      </c>
      <c r="B111" s="31" t="s">
        <v>1945</v>
      </c>
      <c r="C111" s="217"/>
      <c r="D111" s="217"/>
      <c r="E111" s="217"/>
      <c r="F111" s="132">
        <f>F40</f>
        <v>5.5512000000000006E-2</v>
      </c>
      <c r="G111" s="217"/>
      <c r="H111" s="90" t="s">
        <v>1922</v>
      </c>
      <c r="I111" s="4">
        <f t="shared" si="10"/>
        <v>6</v>
      </c>
      <c r="J111" s="4"/>
    </row>
    <row r="112" spans="1:10" x14ac:dyDescent="0.25">
      <c r="A112" s="4">
        <f t="shared" si="9"/>
        <v>7</v>
      </c>
      <c r="B112" s="31" t="s">
        <v>1050</v>
      </c>
      <c r="C112" s="217"/>
      <c r="D112" s="217"/>
      <c r="E112" s="217"/>
      <c r="F112" s="22">
        <f>-'Stmt AR'!E19</f>
        <v>4154.4922645684592</v>
      </c>
      <c r="G112" s="217"/>
      <c r="H112" s="90" t="s">
        <v>1051</v>
      </c>
      <c r="I112" s="4">
        <f t="shared" si="10"/>
        <v>7</v>
      </c>
      <c r="J112" s="4"/>
    </row>
    <row r="113" spans="1:11" x14ac:dyDescent="0.25">
      <c r="A113" s="4">
        <f t="shared" si="9"/>
        <v>8</v>
      </c>
      <c r="B113" s="31" t="s">
        <v>1052</v>
      </c>
      <c r="C113" s="217"/>
      <c r="D113" s="217"/>
      <c r="E113" s="217"/>
      <c r="F113" s="109">
        <f>'AV-1A'!C33</f>
        <v>12371.309462440002</v>
      </c>
      <c r="G113" s="217"/>
      <c r="H113" s="420" t="s">
        <v>1961</v>
      </c>
      <c r="I113" s="4">
        <f t="shared" si="10"/>
        <v>8</v>
      </c>
      <c r="J113" s="217"/>
    </row>
    <row r="114" spans="1:11" x14ac:dyDescent="0.25">
      <c r="A114" s="4">
        <f t="shared" si="9"/>
        <v>9</v>
      </c>
      <c r="B114" s="31" t="s">
        <v>1053</v>
      </c>
      <c r="C114" s="217"/>
      <c r="D114" s="464"/>
      <c r="E114" s="217"/>
      <c r="F114" s="7">
        <f>'BK-1 BTRR - EU'!E139</f>
        <v>5651620.4488822836</v>
      </c>
      <c r="G114" s="217"/>
      <c r="H114" s="90" t="s">
        <v>1888</v>
      </c>
      <c r="I114" s="4">
        <f t="shared" si="10"/>
        <v>9</v>
      </c>
    </row>
    <row r="115" spans="1:11" x14ac:dyDescent="0.25">
      <c r="A115" s="4">
        <f t="shared" si="9"/>
        <v>10</v>
      </c>
      <c r="B115" s="31" t="s">
        <v>1054</v>
      </c>
      <c r="C115" s="47"/>
      <c r="D115" s="217"/>
      <c r="E115" s="217"/>
      <c r="F115" s="1053" t="s">
        <v>1055</v>
      </c>
      <c r="G115" s="217"/>
      <c r="H115" s="90" t="s">
        <v>1056</v>
      </c>
      <c r="I115" s="4">
        <f t="shared" si="10"/>
        <v>10</v>
      </c>
      <c r="K115" s="253"/>
    </row>
    <row r="116" spans="1:11" x14ac:dyDescent="0.25">
      <c r="A116" s="4">
        <f t="shared" si="9"/>
        <v>11</v>
      </c>
      <c r="F116" s="4"/>
      <c r="G116" s="4"/>
      <c r="I116" s="4">
        <f t="shared" si="10"/>
        <v>11</v>
      </c>
    </row>
    <row r="117" spans="1:11" x14ac:dyDescent="0.25">
      <c r="A117" s="4">
        <f t="shared" si="9"/>
        <v>12</v>
      </c>
      <c r="B117" s="31" t="s">
        <v>1057</v>
      </c>
      <c r="C117" s="217"/>
      <c r="D117" s="217"/>
      <c r="E117" s="217"/>
      <c r="F117" s="1054">
        <f>IFERROR((((F111)+(F113/F114))*F115-(F112/F114))/(1-F115),0)</f>
        <v>1.4407733171649577E-2</v>
      </c>
      <c r="G117" s="26"/>
      <c r="H117" s="90" t="s">
        <v>1058</v>
      </c>
      <c r="I117" s="4">
        <f t="shared" si="10"/>
        <v>12</v>
      </c>
      <c r="K117" s="465"/>
    </row>
    <row r="118" spans="1:11" x14ac:dyDescent="0.25">
      <c r="A118" s="4">
        <f t="shared" si="9"/>
        <v>13</v>
      </c>
      <c r="B118" s="248" t="s">
        <v>1059</v>
      </c>
      <c r="F118" s="4"/>
      <c r="G118" s="4"/>
      <c r="I118" s="4">
        <f t="shared" si="10"/>
        <v>13</v>
      </c>
    </row>
    <row r="119" spans="1:11" x14ac:dyDescent="0.25">
      <c r="A119" s="4">
        <f t="shared" si="9"/>
        <v>14</v>
      </c>
      <c r="F119" s="435"/>
      <c r="G119" s="4"/>
      <c r="I119" s="4">
        <f t="shared" si="10"/>
        <v>14</v>
      </c>
    </row>
    <row r="120" spans="1:11" x14ac:dyDescent="0.25">
      <c r="A120" s="4">
        <f t="shared" si="9"/>
        <v>15</v>
      </c>
      <c r="B120" s="250" t="s">
        <v>1060</v>
      </c>
      <c r="C120" s="217"/>
      <c r="D120" s="217"/>
      <c r="E120" s="217"/>
      <c r="F120" s="133"/>
      <c r="G120" s="133"/>
      <c r="H120" s="466"/>
      <c r="I120" s="4">
        <f t="shared" si="10"/>
        <v>15</v>
      </c>
      <c r="J120" s="467"/>
    </row>
    <row r="121" spans="1:11" x14ac:dyDescent="0.25">
      <c r="A121" s="4">
        <f t="shared" si="9"/>
        <v>16</v>
      </c>
      <c r="B121" s="339"/>
      <c r="C121" s="217"/>
      <c r="D121" s="217"/>
      <c r="E121" s="217"/>
      <c r="F121" s="133"/>
      <c r="G121" s="133"/>
      <c r="H121" s="468"/>
      <c r="I121" s="4">
        <f t="shared" si="10"/>
        <v>16</v>
      </c>
      <c r="J121" s="217"/>
    </row>
    <row r="122" spans="1:11" x14ac:dyDescent="0.25">
      <c r="A122" s="4">
        <f t="shared" si="9"/>
        <v>17</v>
      </c>
      <c r="B122" s="32" t="s">
        <v>1048</v>
      </c>
      <c r="C122" s="217"/>
      <c r="D122" s="217"/>
      <c r="E122" s="217"/>
      <c r="F122" s="133"/>
      <c r="G122" s="133"/>
      <c r="H122" s="468"/>
      <c r="I122" s="4">
        <f t="shared" si="10"/>
        <v>17</v>
      </c>
      <c r="J122" s="217"/>
    </row>
    <row r="123" spans="1:11" x14ac:dyDescent="0.25">
      <c r="A123" s="4">
        <f t="shared" si="9"/>
        <v>18</v>
      </c>
      <c r="B123" s="31" t="s">
        <v>1945</v>
      </c>
      <c r="C123" s="217"/>
      <c r="D123" s="217"/>
      <c r="E123" s="217"/>
      <c r="F123" s="132">
        <f>F111</f>
        <v>5.5512000000000006E-2</v>
      </c>
      <c r="G123" s="27"/>
      <c r="H123" s="90" t="s">
        <v>1061</v>
      </c>
      <c r="I123" s="4">
        <f t="shared" si="10"/>
        <v>18</v>
      </c>
      <c r="J123" s="4"/>
    </row>
    <row r="124" spans="1:11" x14ac:dyDescent="0.25">
      <c r="A124" s="4">
        <f t="shared" si="9"/>
        <v>19</v>
      </c>
      <c r="B124" s="31" t="s">
        <v>1062</v>
      </c>
      <c r="C124" s="217"/>
      <c r="D124" s="217"/>
      <c r="E124" s="217"/>
      <c r="F124" s="44">
        <f>-'Stmt AT'!E19</f>
        <v>0</v>
      </c>
      <c r="G124" s="27"/>
      <c r="H124" s="90" t="s">
        <v>1063</v>
      </c>
      <c r="I124" s="4">
        <f t="shared" si="10"/>
        <v>19</v>
      </c>
      <c r="J124" s="4"/>
    </row>
    <row r="125" spans="1:11" x14ac:dyDescent="0.25">
      <c r="A125" s="4">
        <f t="shared" si="9"/>
        <v>20</v>
      </c>
      <c r="B125" s="31" t="s">
        <v>1052</v>
      </c>
      <c r="C125" s="217"/>
      <c r="D125" s="217"/>
      <c r="E125" s="217"/>
      <c r="F125" s="22">
        <f>F113</f>
        <v>12371.309462440002</v>
      </c>
      <c r="G125" s="44"/>
      <c r="H125" s="90" t="s">
        <v>1064</v>
      </c>
      <c r="I125" s="4">
        <f t="shared" si="10"/>
        <v>20</v>
      </c>
      <c r="J125" s="4"/>
    </row>
    <row r="126" spans="1:11" x14ac:dyDescent="0.25">
      <c r="A126" s="4">
        <f t="shared" si="9"/>
        <v>21</v>
      </c>
      <c r="B126" s="31" t="s">
        <v>1053</v>
      </c>
      <c r="C126" s="217"/>
      <c r="D126" s="217"/>
      <c r="E126" s="217"/>
      <c r="F126" s="7">
        <f>F114</f>
        <v>5651620.4488822836</v>
      </c>
      <c r="G126" s="10"/>
      <c r="H126" s="90" t="s">
        <v>1065</v>
      </c>
      <c r="I126" s="4">
        <f t="shared" si="10"/>
        <v>21</v>
      </c>
      <c r="J126" s="4"/>
    </row>
    <row r="127" spans="1:11" x14ac:dyDescent="0.25">
      <c r="A127" s="4">
        <f t="shared" si="9"/>
        <v>22</v>
      </c>
      <c r="B127" s="31" t="s">
        <v>1066</v>
      </c>
      <c r="C127" s="217"/>
      <c r="D127" s="217"/>
      <c r="E127" s="217"/>
      <c r="F127" s="1139">
        <f>F117</f>
        <v>1.4407733171649577E-2</v>
      </c>
      <c r="G127" s="26"/>
      <c r="H127" s="90" t="s">
        <v>1067</v>
      </c>
      <c r="I127" s="4">
        <f t="shared" si="10"/>
        <v>22</v>
      </c>
    </row>
    <row r="128" spans="1:11" x14ac:dyDescent="0.25">
      <c r="A128" s="4">
        <f t="shared" si="9"/>
        <v>23</v>
      </c>
      <c r="B128" s="31" t="s">
        <v>1068</v>
      </c>
      <c r="C128" s="217"/>
      <c r="D128" s="217"/>
      <c r="E128" s="217"/>
      <c r="F128" s="1053" t="s">
        <v>1069</v>
      </c>
      <c r="G128" s="217"/>
      <c r="H128" s="90" t="s">
        <v>1070</v>
      </c>
      <c r="I128" s="4">
        <f t="shared" si="10"/>
        <v>23</v>
      </c>
    </row>
    <row r="129" spans="1:11" x14ac:dyDescent="0.25">
      <c r="A129" s="4">
        <f t="shared" si="9"/>
        <v>24</v>
      </c>
      <c r="B129" s="1"/>
      <c r="C129" s="217"/>
      <c r="D129" s="217"/>
      <c r="E129" s="217"/>
      <c r="F129" s="134"/>
      <c r="G129" s="134"/>
      <c r="H129" s="468"/>
      <c r="I129" s="4">
        <f t="shared" si="10"/>
        <v>24</v>
      </c>
    </row>
    <row r="130" spans="1:11" x14ac:dyDescent="0.25">
      <c r="A130" s="4">
        <f t="shared" si="9"/>
        <v>25</v>
      </c>
      <c r="B130" s="31" t="s">
        <v>1071</v>
      </c>
      <c r="C130" s="4"/>
      <c r="D130" s="217"/>
      <c r="E130" s="217"/>
      <c r="F130" s="1054">
        <f>IFERROR((((F123)+(F125/F126)+F117)*F128-(F124/F126))/(1-F128),0)</f>
        <v>6.9925522604310508E-3</v>
      </c>
      <c r="G130" s="26"/>
      <c r="H130" s="90" t="s">
        <v>1072</v>
      </c>
      <c r="I130" s="4">
        <f t="shared" si="10"/>
        <v>25</v>
      </c>
    </row>
    <row r="131" spans="1:11" x14ac:dyDescent="0.25">
      <c r="A131" s="4">
        <f t="shared" si="9"/>
        <v>26</v>
      </c>
      <c r="B131" s="248" t="s">
        <v>1073</v>
      </c>
      <c r="F131" s="4"/>
      <c r="G131" s="4"/>
      <c r="H131" s="90"/>
      <c r="I131" s="4">
        <f t="shared" si="10"/>
        <v>26</v>
      </c>
      <c r="J131" s="4"/>
    </row>
    <row r="132" spans="1:11" x14ac:dyDescent="0.25">
      <c r="A132" s="4">
        <f t="shared" si="9"/>
        <v>27</v>
      </c>
      <c r="F132" s="4"/>
      <c r="G132" s="4"/>
      <c r="H132" s="90"/>
      <c r="I132" s="4">
        <f t="shared" si="10"/>
        <v>27</v>
      </c>
      <c r="J132" s="4"/>
    </row>
    <row r="133" spans="1:11" x14ac:dyDescent="0.25">
      <c r="A133" s="4">
        <f t="shared" si="9"/>
        <v>28</v>
      </c>
      <c r="B133" s="250" t="s">
        <v>1513</v>
      </c>
      <c r="F133" s="1054">
        <f>F117+F130</f>
        <v>2.1400285432080626E-2</v>
      </c>
      <c r="G133" s="26"/>
      <c r="H133" s="90" t="s">
        <v>1074</v>
      </c>
      <c r="I133" s="4">
        <f t="shared" si="10"/>
        <v>28</v>
      </c>
      <c r="J133" s="4"/>
    </row>
    <row r="134" spans="1:11" x14ac:dyDescent="0.25">
      <c r="A134" s="4">
        <f t="shared" si="9"/>
        <v>29</v>
      </c>
      <c r="F134" s="26"/>
      <c r="G134" s="26"/>
      <c r="H134" s="90"/>
      <c r="I134" s="4">
        <f t="shared" si="10"/>
        <v>29</v>
      </c>
      <c r="J134" s="4"/>
    </row>
    <row r="135" spans="1:11" x14ac:dyDescent="0.25">
      <c r="A135" s="4">
        <f t="shared" si="9"/>
        <v>30</v>
      </c>
      <c r="B135" s="31" t="s">
        <v>1517</v>
      </c>
      <c r="F135" s="10">
        <f>F114*F117</f>
        <v>81427.039414934348</v>
      </c>
      <c r="G135" s="26"/>
      <c r="H135" s="90" t="s">
        <v>1518</v>
      </c>
      <c r="I135" s="4">
        <f t="shared" si="10"/>
        <v>30</v>
      </c>
      <c r="J135" s="4"/>
    </row>
    <row r="136" spans="1:11" x14ac:dyDescent="0.25">
      <c r="A136" s="4">
        <f t="shared" si="9"/>
        <v>31</v>
      </c>
      <c r="B136" s="31" t="s">
        <v>1519</v>
      </c>
      <c r="F136" s="1112">
        <f>F114*F130</f>
        <v>39519.251344930162</v>
      </c>
      <c r="G136" s="26"/>
      <c r="H136" s="90" t="s">
        <v>1520</v>
      </c>
      <c r="I136" s="4">
        <f t="shared" si="10"/>
        <v>31</v>
      </c>
      <c r="J136" s="4"/>
    </row>
    <row r="137" spans="1:11" ht="16.5" thickBot="1" x14ac:dyDescent="0.3">
      <c r="A137" s="4">
        <f t="shared" si="9"/>
        <v>32</v>
      </c>
      <c r="B137" s="31" t="s">
        <v>1521</v>
      </c>
      <c r="F137" s="17">
        <f>F135+F136</f>
        <v>120946.29075986451</v>
      </c>
      <c r="G137" s="26"/>
      <c r="H137" s="90" t="s">
        <v>99</v>
      </c>
      <c r="I137" s="4">
        <f t="shared" si="10"/>
        <v>32</v>
      </c>
      <c r="J137" s="4"/>
    </row>
    <row r="138" spans="1:11" ht="16.5" thickTop="1" x14ac:dyDescent="0.25">
      <c r="A138" s="4">
        <f t="shared" si="9"/>
        <v>33</v>
      </c>
      <c r="F138" s="10"/>
      <c r="G138" s="26"/>
      <c r="H138" s="90"/>
      <c r="I138" s="4">
        <f t="shared" si="10"/>
        <v>33</v>
      </c>
      <c r="J138" s="4"/>
    </row>
    <row r="139" spans="1:11" x14ac:dyDescent="0.25">
      <c r="A139" s="4">
        <f t="shared" si="9"/>
        <v>34</v>
      </c>
      <c r="B139" s="250" t="s">
        <v>1514</v>
      </c>
      <c r="F139" s="867">
        <f>F38</f>
        <v>7.4841787401339496E-2</v>
      </c>
      <c r="G139" s="217"/>
      <c r="H139" s="90" t="s">
        <v>1938</v>
      </c>
      <c r="I139" s="4">
        <f t="shared" si="10"/>
        <v>34</v>
      </c>
      <c r="J139" s="4"/>
    </row>
    <row r="140" spans="1:11" x14ac:dyDescent="0.25">
      <c r="A140" s="4">
        <f t="shared" si="9"/>
        <v>35</v>
      </c>
      <c r="B140" s="250"/>
      <c r="F140" s="26"/>
      <c r="G140" s="217"/>
      <c r="H140" s="90"/>
      <c r="I140" s="4">
        <f t="shared" si="10"/>
        <v>35</v>
      </c>
      <c r="J140" s="4"/>
    </row>
    <row r="141" spans="1:11" ht="16.5" thickBot="1" x14ac:dyDescent="0.3">
      <c r="A141" s="4">
        <f t="shared" si="9"/>
        <v>36</v>
      </c>
      <c r="B141" s="31" t="s">
        <v>1527</v>
      </c>
      <c r="F141" s="1105">
        <f>F114*F139</f>
        <v>422977.37610831077</v>
      </c>
      <c r="G141" s="217"/>
      <c r="H141" s="90" t="s">
        <v>1522</v>
      </c>
      <c r="I141" s="4">
        <f t="shared" si="10"/>
        <v>36</v>
      </c>
      <c r="J141" s="4"/>
    </row>
    <row r="142" spans="1:11" ht="16.5" thickTop="1" x14ac:dyDescent="0.25">
      <c r="A142" s="4">
        <f t="shared" si="9"/>
        <v>37</v>
      </c>
      <c r="B142" s="250"/>
      <c r="F142" s="470"/>
      <c r="G142" s="470"/>
      <c r="H142" s="90"/>
      <c r="I142" s="4">
        <f t="shared" si="10"/>
        <v>37</v>
      </c>
      <c r="J142" s="469"/>
      <c r="K142" s="465"/>
    </row>
    <row r="143" spans="1:11" ht="19.5" thickBot="1" x14ac:dyDescent="0.3">
      <c r="A143" s="4">
        <f t="shared" si="9"/>
        <v>38</v>
      </c>
      <c r="B143" s="250" t="s">
        <v>1652</v>
      </c>
      <c r="F143" s="1122">
        <f>F133+F139</f>
        <v>9.6242072833420123E-2</v>
      </c>
      <c r="G143" s="470"/>
      <c r="H143" s="90" t="s">
        <v>1619</v>
      </c>
      <c r="I143" s="4">
        <f t="shared" si="10"/>
        <v>38</v>
      </c>
      <c r="J143" s="469"/>
      <c r="K143" s="465"/>
    </row>
    <row r="144" spans="1:11" ht="17.25" thickTop="1" thickBot="1" x14ac:dyDescent="0.3">
      <c r="A144" s="861">
        <f t="shared" si="9"/>
        <v>39</v>
      </c>
      <c r="B144" s="862"/>
      <c r="C144" s="862"/>
      <c r="D144" s="862"/>
      <c r="E144" s="862"/>
      <c r="F144" s="861"/>
      <c r="G144" s="861"/>
      <c r="H144" s="863"/>
      <c r="I144" s="861">
        <f t="shared" si="10"/>
        <v>39</v>
      </c>
      <c r="J144" s="469"/>
      <c r="K144" s="465"/>
    </row>
    <row r="145" spans="1:11" x14ac:dyDescent="0.25">
      <c r="A145" s="4">
        <f t="shared" si="9"/>
        <v>40</v>
      </c>
      <c r="F145" s="4"/>
      <c r="G145" s="4"/>
      <c r="H145" s="90"/>
      <c r="I145" s="4">
        <f t="shared" si="10"/>
        <v>40</v>
      </c>
      <c r="J145" s="469"/>
      <c r="K145" s="465"/>
    </row>
    <row r="146" spans="1:11" ht="18.75" x14ac:dyDescent="0.25">
      <c r="A146" s="4">
        <f t="shared" si="9"/>
        <v>41</v>
      </c>
      <c r="B146" s="250" t="s">
        <v>1555</v>
      </c>
      <c r="D146" s="217"/>
      <c r="E146" s="217"/>
      <c r="F146" s="41"/>
      <c r="G146" s="41"/>
      <c r="H146" s="90"/>
      <c r="I146" s="4">
        <f t="shared" si="10"/>
        <v>41</v>
      </c>
      <c r="J146" s="469"/>
      <c r="K146" s="465"/>
    </row>
    <row r="147" spans="1:11" x14ac:dyDescent="0.25">
      <c r="A147" s="4">
        <f t="shared" si="9"/>
        <v>42</v>
      </c>
      <c r="B147" s="33"/>
      <c r="D147" s="217"/>
      <c r="E147" s="217"/>
      <c r="F147" s="41"/>
      <c r="G147" s="41"/>
      <c r="H147" s="90"/>
      <c r="I147" s="4">
        <f t="shared" si="10"/>
        <v>42</v>
      </c>
      <c r="J147" s="469"/>
      <c r="K147" s="465"/>
    </row>
    <row r="148" spans="1:11" x14ac:dyDescent="0.25">
      <c r="A148" s="4">
        <f t="shared" si="9"/>
        <v>43</v>
      </c>
      <c r="B148" s="250" t="s">
        <v>1047</v>
      </c>
      <c r="D148" s="217"/>
      <c r="E148" s="217"/>
      <c r="F148" s="41"/>
      <c r="G148" s="41"/>
      <c r="H148" s="90"/>
      <c r="I148" s="4">
        <f t="shared" si="10"/>
        <v>43</v>
      </c>
      <c r="J148" s="469"/>
      <c r="K148" s="465"/>
    </row>
    <row r="149" spans="1:11" x14ac:dyDescent="0.25">
      <c r="A149" s="4">
        <f t="shared" si="9"/>
        <v>44</v>
      </c>
      <c r="B149" s="217"/>
      <c r="C149" s="217"/>
      <c r="D149" s="217"/>
      <c r="E149" s="217"/>
      <c r="F149" s="41"/>
      <c r="G149" s="41"/>
      <c r="H149" s="90"/>
      <c r="I149" s="4">
        <f t="shared" si="10"/>
        <v>44</v>
      </c>
      <c r="J149" s="469"/>
      <c r="K149" s="465"/>
    </row>
    <row r="150" spans="1:11" x14ac:dyDescent="0.25">
      <c r="A150" s="4">
        <f t="shared" si="9"/>
        <v>45</v>
      </c>
      <c r="B150" s="32" t="s">
        <v>1048</v>
      </c>
      <c r="C150" s="217"/>
      <c r="D150" s="217"/>
      <c r="E150" s="217"/>
      <c r="F150" s="41"/>
      <c r="G150" s="41"/>
      <c r="H150" s="463"/>
      <c r="I150" s="4">
        <f t="shared" si="10"/>
        <v>45</v>
      </c>
      <c r="J150" s="469"/>
      <c r="K150" s="465"/>
    </row>
    <row r="151" spans="1:11" x14ac:dyDescent="0.25">
      <c r="A151" s="4">
        <f t="shared" si="9"/>
        <v>46</v>
      </c>
      <c r="B151" s="31" t="s">
        <v>1556</v>
      </c>
      <c r="C151" s="217"/>
      <c r="D151" s="217"/>
      <c r="E151" s="217"/>
      <c r="F151" s="132">
        <f>F52</f>
        <v>0</v>
      </c>
      <c r="G151" s="217"/>
      <c r="H151" s="90" t="s">
        <v>1939</v>
      </c>
      <c r="I151" s="4">
        <f t="shared" si="10"/>
        <v>46</v>
      </c>
      <c r="J151" s="469"/>
      <c r="K151" s="465"/>
    </row>
    <row r="152" spans="1:11" x14ac:dyDescent="0.25">
      <c r="A152" s="4">
        <f t="shared" si="9"/>
        <v>47</v>
      </c>
      <c r="B152" s="31" t="s">
        <v>1050</v>
      </c>
      <c r="C152" s="217"/>
      <c r="D152" s="217"/>
      <c r="E152" s="217"/>
      <c r="F152" s="135">
        <v>0</v>
      </c>
      <c r="G152" s="217"/>
      <c r="H152" s="90" t="s">
        <v>1530</v>
      </c>
      <c r="I152" s="4">
        <f t="shared" si="10"/>
        <v>47</v>
      </c>
      <c r="J152" s="469"/>
      <c r="K152" s="465"/>
    </row>
    <row r="153" spans="1:11" x14ac:dyDescent="0.25">
      <c r="A153" s="4">
        <f t="shared" si="9"/>
        <v>48</v>
      </c>
      <c r="B153" s="31" t="s">
        <v>1052</v>
      </c>
      <c r="C153" s="217"/>
      <c r="D153" s="217"/>
      <c r="E153" s="217"/>
      <c r="F153" s="135">
        <v>0</v>
      </c>
      <c r="G153" s="217"/>
      <c r="H153" s="90" t="s">
        <v>1530</v>
      </c>
      <c r="I153" s="4">
        <f t="shared" si="10"/>
        <v>48</v>
      </c>
      <c r="J153" s="469"/>
      <c r="K153" s="465"/>
    </row>
    <row r="154" spans="1:11" x14ac:dyDescent="0.25">
      <c r="A154" s="4">
        <f t="shared" si="9"/>
        <v>49</v>
      </c>
      <c r="B154" s="31" t="s">
        <v>1053</v>
      </c>
      <c r="C154" s="217"/>
      <c r="D154" s="464"/>
      <c r="E154" s="217"/>
      <c r="F154" s="7">
        <f>'BK-1 BTRR - EU'!E139</f>
        <v>5651620.4488822836</v>
      </c>
      <c r="G154" s="217"/>
      <c r="H154" s="90" t="s">
        <v>1888</v>
      </c>
      <c r="I154" s="4">
        <f t="shared" si="10"/>
        <v>49</v>
      </c>
      <c r="J154" s="469"/>
      <c r="K154" s="465"/>
    </row>
    <row r="155" spans="1:11" x14ac:dyDescent="0.25">
      <c r="A155" s="4">
        <f t="shared" si="9"/>
        <v>50</v>
      </c>
      <c r="B155" s="31" t="s">
        <v>1054</v>
      </c>
      <c r="C155" s="47"/>
      <c r="D155" s="217"/>
      <c r="E155" s="217"/>
      <c r="F155" s="1053" t="s">
        <v>1055</v>
      </c>
      <c r="G155" s="217"/>
      <c r="H155" s="90" t="s">
        <v>1056</v>
      </c>
      <c r="I155" s="4">
        <f t="shared" si="10"/>
        <v>50</v>
      </c>
      <c r="J155" s="469"/>
      <c r="K155" s="465"/>
    </row>
    <row r="156" spans="1:11" x14ac:dyDescent="0.25">
      <c r="A156" s="4">
        <f t="shared" si="9"/>
        <v>51</v>
      </c>
      <c r="F156" s="4"/>
      <c r="G156" s="4"/>
      <c r="I156" s="4">
        <f t="shared" si="10"/>
        <v>51</v>
      </c>
      <c r="J156" s="469"/>
      <c r="K156" s="465"/>
    </row>
    <row r="157" spans="1:11" x14ac:dyDescent="0.25">
      <c r="A157" s="4">
        <f t="shared" si="9"/>
        <v>52</v>
      </c>
      <c r="B157" s="31" t="s">
        <v>1057</v>
      </c>
      <c r="C157" s="217"/>
      <c r="D157" s="217"/>
      <c r="E157" s="217"/>
      <c r="F157" s="1054">
        <f>IFERROR((((F151)+(F153/F154))*F155-(F152/F154))/(1-F155),0)</f>
        <v>0</v>
      </c>
      <c r="G157" s="26"/>
      <c r="H157" s="90" t="s">
        <v>1058</v>
      </c>
      <c r="I157" s="4">
        <f t="shared" si="10"/>
        <v>52</v>
      </c>
      <c r="J157" s="469"/>
      <c r="K157" s="465"/>
    </row>
    <row r="158" spans="1:11" x14ac:dyDescent="0.25">
      <c r="A158" s="4">
        <f t="shared" si="9"/>
        <v>53</v>
      </c>
      <c r="B158" s="248" t="s">
        <v>1059</v>
      </c>
      <c r="F158" s="4"/>
      <c r="G158" s="4"/>
      <c r="I158" s="4">
        <f t="shared" si="10"/>
        <v>53</v>
      </c>
      <c r="J158" s="469"/>
      <c r="K158" s="465"/>
    </row>
    <row r="159" spans="1:11" x14ac:dyDescent="0.25">
      <c r="A159" s="4">
        <f t="shared" si="9"/>
        <v>54</v>
      </c>
      <c r="F159" s="4"/>
      <c r="G159" s="4"/>
      <c r="I159" s="4">
        <f t="shared" si="10"/>
        <v>54</v>
      </c>
      <c r="J159" s="469"/>
      <c r="K159" s="465"/>
    </row>
    <row r="160" spans="1:11" x14ac:dyDescent="0.25">
      <c r="A160" s="4">
        <f t="shared" si="9"/>
        <v>55</v>
      </c>
      <c r="B160" s="250" t="s">
        <v>1060</v>
      </c>
      <c r="C160" s="217"/>
      <c r="D160" s="217"/>
      <c r="E160" s="217"/>
      <c r="F160" s="133"/>
      <c r="G160" s="133"/>
      <c r="H160" s="466"/>
      <c r="I160" s="4">
        <f t="shared" si="10"/>
        <v>55</v>
      </c>
      <c r="J160" s="469"/>
      <c r="K160" s="465"/>
    </row>
    <row r="161" spans="1:11" x14ac:dyDescent="0.25">
      <c r="A161" s="4">
        <f t="shared" si="9"/>
        <v>56</v>
      </c>
      <c r="B161" s="339"/>
      <c r="C161" s="217"/>
      <c r="D161" s="217"/>
      <c r="E161" s="217"/>
      <c r="F161" s="133"/>
      <c r="G161" s="133"/>
      <c r="H161" s="468"/>
      <c r="I161" s="4">
        <f t="shared" si="10"/>
        <v>56</v>
      </c>
      <c r="J161" s="469"/>
      <c r="K161" s="465"/>
    </row>
    <row r="162" spans="1:11" x14ac:dyDescent="0.25">
      <c r="A162" s="4">
        <f t="shared" si="9"/>
        <v>57</v>
      </c>
      <c r="B162" s="32" t="s">
        <v>1048</v>
      </c>
      <c r="C162" s="217"/>
      <c r="D162" s="217"/>
      <c r="E162" s="217"/>
      <c r="F162" s="133"/>
      <c r="G162" s="133"/>
      <c r="H162" s="468"/>
      <c r="I162" s="4">
        <f t="shared" si="10"/>
        <v>57</v>
      </c>
      <c r="J162" s="469"/>
      <c r="K162" s="465"/>
    </row>
    <row r="163" spans="1:11" x14ac:dyDescent="0.25">
      <c r="A163" s="4">
        <f t="shared" si="9"/>
        <v>58</v>
      </c>
      <c r="B163" s="31" t="s">
        <v>1556</v>
      </c>
      <c r="C163" s="217"/>
      <c r="D163" s="217"/>
      <c r="E163" s="217"/>
      <c r="F163" s="132">
        <f>F151</f>
        <v>0</v>
      </c>
      <c r="G163" s="27"/>
      <c r="H163" s="90" t="s">
        <v>1561</v>
      </c>
      <c r="I163" s="4">
        <f t="shared" si="10"/>
        <v>58</v>
      </c>
      <c r="J163" s="469"/>
      <c r="K163" s="465"/>
    </row>
    <row r="164" spans="1:11" x14ac:dyDescent="0.25">
      <c r="A164" s="4">
        <f t="shared" si="9"/>
        <v>59</v>
      </c>
      <c r="B164" s="31" t="s">
        <v>1062</v>
      </c>
      <c r="C164" s="217"/>
      <c r="D164" s="217"/>
      <c r="E164" s="217"/>
      <c r="F164" s="135">
        <v>0</v>
      </c>
      <c r="G164" s="27"/>
      <c r="H164" s="90" t="s">
        <v>1530</v>
      </c>
      <c r="I164" s="4">
        <f t="shared" si="10"/>
        <v>59</v>
      </c>
      <c r="J164" s="469"/>
      <c r="K164" s="465"/>
    </row>
    <row r="165" spans="1:11" x14ac:dyDescent="0.25">
      <c r="A165" s="4">
        <f t="shared" si="9"/>
        <v>60</v>
      </c>
      <c r="B165" s="31" t="s">
        <v>1052</v>
      </c>
      <c r="C165" s="217"/>
      <c r="D165" s="217"/>
      <c r="E165" s="217"/>
      <c r="F165" s="7">
        <f>F153</f>
        <v>0</v>
      </c>
      <c r="G165" s="44"/>
      <c r="H165" s="90" t="s">
        <v>1653</v>
      </c>
      <c r="I165" s="4">
        <f t="shared" si="10"/>
        <v>60</v>
      </c>
      <c r="J165" s="469"/>
      <c r="K165" s="465"/>
    </row>
    <row r="166" spans="1:11" x14ac:dyDescent="0.25">
      <c r="A166" s="4">
        <f t="shared" si="9"/>
        <v>61</v>
      </c>
      <c r="B166" s="31" t="s">
        <v>1053</v>
      </c>
      <c r="C166" s="217"/>
      <c r="D166" s="217"/>
      <c r="E166" s="217"/>
      <c r="F166" s="7">
        <f>F154</f>
        <v>5651620.4488822836</v>
      </c>
      <c r="G166" s="10"/>
      <c r="H166" s="90" t="s">
        <v>1654</v>
      </c>
      <c r="I166" s="4">
        <f t="shared" si="10"/>
        <v>61</v>
      </c>
      <c r="J166" s="469"/>
      <c r="K166" s="465"/>
    </row>
    <row r="167" spans="1:11" x14ac:dyDescent="0.25">
      <c r="A167" s="4">
        <f t="shared" si="9"/>
        <v>62</v>
      </c>
      <c r="B167" s="31" t="s">
        <v>1066</v>
      </c>
      <c r="C167" s="217"/>
      <c r="D167" s="217"/>
      <c r="E167" s="217"/>
      <c r="F167" s="1139">
        <f>F157</f>
        <v>0</v>
      </c>
      <c r="G167" s="26"/>
      <c r="H167" s="90" t="s">
        <v>1655</v>
      </c>
      <c r="I167" s="4">
        <f t="shared" si="10"/>
        <v>62</v>
      </c>
      <c r="J167" s="469"/>
      <c r="K167" s="465"/>
    </row>
    <row r="168" spans="1:11" x14ac:dyDescent="0.25">
      <c r="A168" s="4">
        <f t="shared" si="9"/>
        <v>63</v>
      </c>
      <c r="B168" s="31" t="s">
        <v>1068</v>
      </c>
      <c r="C168" s="217"/>
      <c r="D168" s="217"/>
      <c r="E168" s="217"/>
      <c r="F168" s="1053" t="s">
        <v>1069</v>
      </c>
      <c r="G168" s="217"/>
      <c r="H168" s="90" t="s">
        <v>1070</v>
      </c>
      <c r="I168" s="4">
        <f t="shared" si="10"/>
        <v>63</v>
      </c>
      <c r="J168" s="469"/>
      <c r="K168" s="465"/>
    </row>
    <row r="169" spans="1:11" x14ac:dyDescent="0.25">
      <c r="A169" s="4">
        <f t="shared" si="9"/>
        <v>64</v>
      </c>
      <c r="B169" s="1"/>
      <c r="C169" s="217"/>
      <c r="D169" s="217"/>
      <c r="E169" s="217"/>
      <c r="F169" s="134"/>
      <c r="G169" s="134"/>
      <c r="H169" s="468"/>
      <c r="I169" s="4">
        <f t="shared" si="10"/>
        <v>64</v>
      </c>
      <c r="J169" s="469"/>
      <c r="K169" s="465"/>
    </row>
    <row r="170" spans="1:11" x14ac:dyDescent="0.25">
      <c r="A170" s="4">
        <f t="shared" si="9"/>
        <v>65</v>
      </c>
      <c r="B170" s="31" t="s">
        <v>1071</v>
      </c>
      <c r="C170" s="4"/>
      <c r="D170" s="217"/>
      <c r="E170" s="217"/>
      <c r="F170" s="1054">
        <f>IFERROR((((F163)+(F165/F166)+F157)*F168-(F164/F166))/(1-F168),0)</f>
        <v>0</v>
      </c>
      <c r="G170" s="26"/>
      <c r="H170" s="90" t="s">
        <v>1072</v>
      </c>
      <c r="I170" s="4">
        <f t="shared" si="10"/>
        <v>65</v>
      </c>
      <c r="J170" s="469"/>
      <c r="K170" s="465"/>
    </row>
    <row r="171" spans="1:11" x14ac:dyDescent="0.25">
      <c r="A171" s="4">
        <f t="shared" si="9"/>
        <v>66</v>
      </c>
      <c r="B171" s="248" t="s">
        <v>1073</v>
      </c>
      <c r="F171" s="4"/>
      <c r="G171" s="4"/>
      <c r="H171" s="90"/>
      <c r="I171" s="4">
        <f t="shared" si="10"/>
        <v>66</v>
      </c>
      <c r="J171" s="469"/>
      <c r="K171" s="465"/>
    </row>
    <row r="172" spans="1:11" x14ac:dyDescent="0.25">
      <c r="A172" s="4">
        <f t="shared" si="9"/>
        <v>67</v>
      </c>
      <c r="F172" s="4"/>
      <c r="G172" s="4"/>
      <c r="H172" s="90"/>
      <c r="I172" s="4">
        <f t="shared" si="10"/>
        <v>67</v>
      </c>
      <c r="J172" s="469"/>
      <c r="K172" s="465"/>
    </row>
    <row r="173" spans="1:11" x14ac:dyDescent="0.25">
      <c r="A173" s="4">
        <f t="shared" si="9"/>
        <v>68</v>
      </c>
      <c r="B173" s="250" t="s">
        <v>1550</v>
      </c>
      <c r="F173" s="1054">
        <f>F157+F170</f>
        <v>0</v>
      </c>
      <c r="G173" s="26"/>
      <c r="H173" s="90" t="s">
        <v>1656</v>
      </c>
      <c r="I173" s="4">
        <f t="shared" si="10"/>
        <v>68</v>
      </c>
      <c r="J173" s="469"/>
      <c r="K173" s="465"/>
    </row>
    <row r="174" spans="1:11" x14ac:dyDescent="0.25">
      <c r="A174" s="4">
        <f t="shared" si="9"/>
        <v>69</v>
      </c>
      <c r="B174" s="250"/>
      <c r="F174" s="26"/>
      <c r="G174" s="26"/>
      <c r="H174" s="90"/>
      <c r="I174" s="4">
        <f t="shared" si="10"/>
        <v>69</v>
      </c>
      <c r="J174" s="469"/>
      <c r="K174" s="465"/>
    </row>
    <row r="175" spans="1:11" x14ac:dyDescent="0.25">
      <c r="A175" s="4">
        <f t="shared" ref="A175:A183" si="11">A174+1</f>
        <v>70</v>
      </c>
      <c r="B175" s="31" t="s">
        <v>1517</v>
      </c>
      <c r="F175" s="10">
        <f>F154*F157</f>
        <v>0</v>
      </c>
      <c r="G175" s="26"/>
      <c r="H175" s="90" t="s">
        <v>1657</v>
      </c>
      <c r="I175" s="4">
        <f t="shared" ref="I175:I183" si="12">I174+1</f>
        <v>70</v>
      </c>
      <c r="J175" s="469"/>
      <c r="K175" s="465"/>
    </row>
    <row r="176" spans="1:11" x14ac:dyDescent="0.25">
      <c r="A176" s="4">
        <f t="shared" si="11"/>
        <v>71</v>
      </c>
      <c r="B176" s="31" t="s">
        <v>1519</v>
      </c>
      <c r="F176" s="1112">
        <f>F154*F170</f>
        <v>0</v>
      </c>
      <c r="G176" s="26"/>
      <c r="H176" s="90" t="s">
        <v>1658</v>
      </c>
      <c r="I176" s="4">
        <f t="shared" si="12"/>
        <v>71</v>
      </c>
      <c r="J176" s="469"/>
      <c r="K176" s="465"/>
    </row>
    <row r="177" spans="1:11" ht="16.5" thickBot="1" x14ac:dyDescent="0.3">
      <c r="A177" s="4">
        <f t="shared" si="11"/>
        <v>72</v>
      </c>
      <c r="B177" s="31" t="s">
        <v>1521</v>
      </c>
      <c r="F177" s="17">
        <f>F175+F176</f>
        <v>0</v>
      </c>
      <c r="G177" s="26"/>
      <c r="H177" s="90" t="s">
        <v>1659</v>
      </c>
      <c r="I177" s="4">
        <f t="shared" si="12"/>
        <v>72</v>
      </c>
      <c r="J177" s="469"/>
      <c r="K177" s="465"/>
    </row>
    <row r="178" spans="1:11" ht="16.5" thickTop="1" x14ac:dyDescent="0.25">
      <c r="A178" s="4">
        <f t="shared" si="11"/>
        <v>73</v>
      </c>
      <c r="F178" s="4"/>
      <c r="G178" s="4"/>
      <c r="H178" s="90"/>
      <c r="I178" s="4">
        <f t="shared" si="12"/>
        <v>73</v>
      </c>
      <c r="J178" s="469"/>
      <c r="K178" s="465"/>
    </row>
    <row r="179" spans="1:11" x14ac:dyDescent="0.25">
      <c r="A179" s="4">
        <f t="shared" si="11"/>
        <v>74</v>
      </c>
      <c r="B179" s="250" t="s">
        <v>1684</v>
      </c>
      <c r="F179" s="867">
        <f>F50</f>
        <v>0</v>
      </c>
      <c r="G179" s="217"/>
      <c r="H179" s="90" t="s">
        <v>1939</v>
      </c>
      <c r="I179" s="4">
        <f t="shared" si="12"/>
        <v>74</v>
      </c>
      <c r="J179" s="469"/>
      <c r="K179" s="465"/>
    </row>
    <row r="180" spans="1:11" x14ac:dyDescent="0.25">
      <c r="A180" s="4">
        <f t="shared" si="11"/>
        <v>75</v>
      </c>
      <c r="B180" s="250"/>
      <c r="F180" s="26"/>
      <c r="G180" s="217"/>
      <c r="H180" s="90"/>
      <c r="I180" s="4">
        <f t="shared" si="12"/>
        <v>75</v>
      </c>
      <c r="J180" s="469"/>
      <c r="K180" s="465"/>
    </row>
    <row r="181" spans="1:11" ht="16.5" thickBot="1" x14ac:dyDescent="0.3">
      <c r="A181" s="4">
        <f t="shared" si="11"/>
        <v>76</v>
      </c>
      <c r="B181" s="31" t="s">
        <v>1527</v>
      </c>
      <c r="F181" s="1105">
        <f>F154*F179</f>
        <v>0</v>
      </c>
      <c r="G181" s="217"/>
      <c r="H181" s="90" t="s">
        <v>1664</v>
      </c>
      <c r="I181" s="4">
        <f t="shared" si="12"/>
        <v>76</v>
      </c>
      <c r="J181" s="469"/>
      <c r="K181" s="465"/>
    </row>
    <row r="182" spans="1:11" ht="16.5" thickTop="1" x14ac:dyDescent="0.25">
      <c r="A182" s="4">
        <f t="shared" si="11"/>
        <v>77</v>
      </c>
      <c r="F182" s="27"/>
      <c r="G182" s="27"/>
      <c r="H182" s="90"/>
      <c r="I182" s="4">
        <f t="shared" si="12"/>
        <v>77</v>
      </c>
      <c r="J182" s="469"/>
      <c r="K182" s="465"/>
    </row>
    <row r="183" spans="1:11" ht="19.5" thickBot="1" x14ac:dyDescent="0.3">
      <c r="A183" s="4">
        <f t="shared" si="11"/>
        <v>78</v>
      </c>
      <c r="B183" s="250" t="s">
        <v>1683</v>
      </c>
      <c r="F183" s="1122">
        <f>F173+F179</f>
        <v>0</v>
      </c>
      <c r="G183" s="26"/>
      <c r="H183" s="90" t="s">
        <v>1660</v>
      </c>
      <c r="I183" s="4">
        <f t="shared" si="12"/>
        <v>78</v>
      </c>
      <c r="J183" s="469"/>
      <c r="K183" s="465"/>
    </row>
    <row r="184" spans="1:11" ht="16.5" thickTop="1" x14ac:dyDescent="0.25">
      <c r="B184" s="250"/>
      <c r="F184" s="470"/>
      <c r="G184" s="470"/>
      <c r="H184" s="90"/>
      <c r="I184" s="4"/>
      <c r="J184" s="469"/>
      <c r="K184" s="465"/>
    </row>
    <row r="185" spans="1:11" x14ac:dyDescent="0.25">
      <c r="B185" s="250"/>
      <c r="F185" s="26"/>
      <c r="G185" s="470"/>
      <c r="H185" s="90"/>
      <c r="I185" s="4"/>
      <c r="J185" s="469"/>
      <c r="K185" s="465"/>
    </row>
    <row r="186" spans="1:11" x14ac:dyDescent="0.25">
      <c r="B186" s="1316" t="s">
        <v>0</v>
      </c>
      <c r="C186" s="1316"/>
      <c r="D186" s="1316"/>
      <c r="E186" s="1316"/>
      <c r="F186" s="1316"/>
      <c r="G186" s="1316"/>
      <c r="H186" s="1316"/>
      <c r="I186" s="4"/>
    </row>
    <row r="187" spans="1:11" x14ac:dyDescent="0.25">
      <c r="B187" s="1316" t="s">
        <v>984</v>
      </c>
      <c r="C187" s="1316"/>
      <c r="D187" s="1316"/>
      <c r="E187" s="1316"/>
      <c r="F187" s="1316"/>
      <c r="G187" s="1316"/>
      <c r="H187" s="1316"/>
      <c r="I187" s="4"/>
    </row>
    <row r="188" spans="1:11" x14ac:dyDescent="0.25">
      <c r="B188" s="1316" t="s">
        <v>985</v>
      </c>
      <c r="C188" s="1316"/>
      <c r="D188" s="1316"/>
      <c r="E188" s="1316"/>
      <c r="F188" s="1316"/>
      <c r="G188" s="1316"/>
      <c r="H188" s="1316"/>
      <c r="I188" s="4"/>
    </row>
    <row r="189" spans="1:11" x14ac:dyDescent="0.25">
      <c r="B189" s="1318" t="str">
        <f>B5</f>
        <v>Base Period &amp; True-Up Period 12 - Months Ending December 31, 2025</v>
      </c>
      <c r="C189" s="1318"/>
      <c r="D189" s="1318"/>
      <c r="E189" s="1318"/>
      <c r="F189" s="1318"/>
      <c r="G189" s="1318"/>
      <c r="H189" s="1318"/>
      <c r="I189" s="4"/>
    </row>
    <row r="190" spans="1:11" x14ac:dyDescent="0.25">
      <c r="B190" s="1312" t="s">
        <v>4</v>
      </c>
      <c r="C190" s="1312"/>
      <c r="D190" s="1312"/>
      <c r="E190" s="1312"/>
      <c r="F190" s="1312"/>
      <c r="G190" s="1312"/>
      <c r="H190" s="1312"/>
      <c r="I190" s="4"/>
    </row>
    <row r="191" spans="1:11" x14ac:dyDescent="0.25">
      <c r="B191" s="4"/>
      <c r="C191" s="4"/>
      <c r="D191" s="4"/>
      <c r="E191" s="4"/>
      <c r="F191" s="217"/>
      <c r="G191" s="217"/>
      <c r="H191" s="90"/>
      <c r="I191" s="4"/>
    </row>
    <row r="192" spans="1:11" x14ac:dyDescent="0.25">
      <c r="A192" s="4" t="s">
        <v>5</v>
      </c>
      <c r="B192" s="217"/>
      <c r="C192" s="217"/>
      <c r="D192" s="217"/>
      <c r="E192" s="217"/>
      <c r="F192" s="217"/>
      <c r="G192" s="217"/>
      <c r="H192" s="90"/>
      <c r="I192" s="4" t="s">
        <v>5</v>
      </c>
    </row>
    <row r="193" spans="1:9" x14ac:dyDescent="0.25">
      <c r="A193" s="4" t="s">
        <v>6</v>
      </c>
      <c r="B193" s="4"/>
      <c r="C193" s="4"/>
      <c r="D193" s="4"/>
      <c r="E193" s="4"/>
      <c r="F193" s="848" t="s">
        <v>7</v>
      </c>
      <c r="G193" s="217"/>
      <c r="H193" s="850" t="s">
        <v>8</v>
      </c>
      <c r="I193" s="4" t="s">
        <v>6</v>
      </c>
    </row>
    <row r="194" spans="1:9" x14ac:dyDescent="0.25">
      <c r="F194" s="4"/>
      <c r="G194" s="4"/>
      <c r="H194" s="90"/>
      <c r="I194" s="4"/>
    </row>
    <row r="195" spans="1:9" ht="18.75" x14ac:dyDescent="0.25">
      <c r="A195" s="4">
        <v>1</v>
      </c>
      <c r="B195" s="250" t="s">
        <v>1661</v>
      </c>
      <c r="D195" s="217"/>
      <c r="E195" s="217"/>
      <c r="F195" s="41"/>
      <c r="G195" s="41"/>
      <c r="H195" s="90"/>
      <c r="I195" s="4">
        <v>1</v>
      </c>
    </row>
    <row r="196" spans="1:9" x14ac:dyDescent="0.25">
      <c r="A196" s="4">
        <f>A195+1</f>
        <v>2</v>
      </c>
      <c r="B196" s="33"/>
      <c r="D196" s="217"/>
      <c r="E196" s="217"/>
      <c r="F196" s="41"/>
      <c r="G196" s="41"/>
      <c r="H196" s="90"/>
      <c r="I196" s="4">
        <f>I195+1</f>
        <v>2</v>
      </c>
    </row>
    <row r="197" spans="1:9" x14ac:dyDescent="0.25">
      <c r="A197" s="4">
        <f>A196+1</f>
        <v>3</v>
      </c>
      <c r="B197" s="250" t="s">
        <v>1047</v>
      </c>
      <c r="D197" s="217"/>
      <c r="E197" s="217"/>
      <c r="F197" s="41"/>
      <c r="G197" s="41"/>
      <c r="H197" s="90"/>
      <c r="I197" s="4">
        <f>I196+1</f>
        <v>3</v>
      </c>
    </row>
    <row r="198" spans="1:9" x14ac:dyDescent="0.25">
      <c r="A198" s="4">
        <f>A197+1</f>
        <v>4</v>
      </c>
      <c r="B198" s="217"/>
      <c r="C198" s="217"/>
      <c r="D198" s="217"/>
      <c r="E198" s="217"/>
      <c r="F198" s="41"/>
      <c r="G198" s="41"/>
      <c r="H198" s="90"/>
      <c r="I198" s="4">
        <f>I197+1</f>
        <v>4</v>
      </c>
    </row>
    <row r="199" spans="1:9" x14ac:dyDescent="0.25">
      <c r="A199" s="4">
        <f t="shared" ref="A199:A269" si="13">A198+1</f>
        <v>5</v>
      </c>
      <c r="B199" s="32" t="s">
        <v>1048</v>
      </c>
      <c r="C199" s="217"/>
      <c r="D199" s="217"/>
      <c r="E199" s="217"/>
      <c r="F199" s="41"/>
      <c r="G199" s="41"/>
      <c r="H199" s="463"/>
      <c r="I199" s="4">
        <f t="shared" ref="I199:I269" si="14">I198+1</f>
        <v>5</v>
      </c>
    </row>
    <row r="200" spans="1:9" x14ac:dyDescent="0.25">
      <c r="A200" s="4">
        <f t="shared" si="13"/>
        <v>6</v>
      </c>
      <c r="B200" s="31" t="s">
        <v>1945</v>
      </c>
      <c r="C200" s="217"/>
      <c r="D200" s="217"/>
      <c r="E200" s="217"/>
      <c r="F200" s="132">
        <f>F77</f>
        <v>0</v>
      </c>
      <c r="G200" s="217"/>
      <c r="H200" s="90" t="s">
        <v>1924</v>
      </c>
      <c r="I200" s="4">
        <f t="shared" si="14"/>
        <v>6</v>
      </c>
    </row>
    <row r="201" spans="1:9" x14ac:dyDescent="0.25">
      <c r="A201" s="4">
        <f t="shared" si="13"/>
        <v>7</v>
      </c>
      <c r="B201" s="31" t="s">
        <v>1050</v>
      </c>
      <c r="C201" s="217"/>
      <c r="D201" s="217"/>
      <c r="E201" s="217"/>
      <c r="F201" s="135">
        <v>0</v>
      </c>
      <c r="G201" s="217"/>
      <c r="H201" s="90" t="s">
        <v>1075</v>
      </c>
      <c r="I201" s="4">
        <f t="shared" si="14"/>
        <v>7</v>
      </c>
    </row>
    <row r="202" spans="1:9" x14ac:dyDescent="0.25">
      <c r="A202" s="4">
        <f t="shared" si="13"/>
        <v>8</v>
      </c>
      <c r="B202" s="31" t="s">
        <v>1052</v>
      </c>
      <c r="C202" s="217"/>
      <c r="D202" s="217"/>
      <c r="E202" s="217"/>
      <c r="F202" s="109">
        <v>0</v>
      </c>
      <c r="G202" s="217"/>
      <c r="H202" s="420" t="s">
        <v>263</v>
      </c>
      <c r="I202" s="4">
        <f t="shared" si="14"/>
        <v>8</v>
      </c>
    </row>
    <row r="203" spans="1:9" x14ac:dyDescent="0.25">
      <c r="A203" s="4">
        <f t="shared" si="13"/>
        <v>9</v>
      </c>
      <c r="B203" s="31" t="s">
        <v>1076</v>
      </c>
      <c r="C203" s="217"/>
      <c r="D203" s="217"/>
      <c r="E203" s="217"/>
      <c r="F203" s="22">
        <f>'BK-1 BTRR - EU'!E144</f>
        <v>0</v>
      </c>
      <c r="G203" s="217"/>
      <c r="H203" s="90" t="s">
        <v>1889</v>
      </c>
      <c r="I203" s="4">
        <f t="shared" si="14"/>
        <v>9</v>
      </c>
    </row>
    <row r="204" spans="1:9" x14ac:dyDescent="0.25">
      <c r="A204" s="4">
        <f t="shared" si="13"/>
        <v>10</v>
      </c>
      <c r="B204" s="31" t="s">
        <v>1054</v>
      </c>
      <c r="C204" s="217"/>
      <c r="D204" s="217"/>
      <c r="E204" s="217"/>
      <c r="F204" s="1055" t="str">
        <f>F115</f>
        <v>21%</v>
      </c>
      <c r="G204" s="217"/>
      <c r="H204" s="90" t="s">
        <v>1569</v>
      </c>
      <c r="I204" s="4">
        <f t="shared" si="14"/>
        <v>10</v>
      </c>
    </row>
    <row r="205" spans="1:9" x14ac:dyDescent="0.25">
      <c r="A205" s="4">
        <f t="shared" si="13"/>
        <v>11</v>
      </c>
      <c r="F205" s="4"/>
      <c r="G205" s="4"/>
      <c r="I205" s="4">
        <f t="shared" si="14"/>
        <v>11</v>
      </c>
    </row>
    <row r="206" spans="1:9" x14ac:dyDescent="0.25">
      <c r="A206" s="4">
        <f t="shared" si="13"/>
        <v>12</v>
      </c>
      <c r="B206" s="31" t="s">
        <v>1077</v>
      </c>
      <c r="C206" s="217"/>
      <c r="D206" s="217"/>
      <c r="E206" s="217"/>
      <c r="F206" s="1054">
        <f>IFERROR((((F200)+(F202/F203))*F204-(F201/F203))/(1-F204),0)</f>
        <v>0</v>
      </c>
      <c r="G206" s="26"/>
      <c r="H206" s="90" t="s">
        <v>1078</v>
      </c>
      <c r="I206" s="4">
        <f t="shared" si="14"/>
        <v>12</v>
      </c>
    </row>
    <row r="207" spans="1:9" x14ac:dyDescent="0.25">
      <c r="A207" s="4">
        <f t="shared" si="13"/>
        <v>13</v>
      </c>
      <c r="B207" s="248" t="s">
        <v>1059</v>
      </c>
      <c r="C207" s="248"/>
      <c r="F207" s="27"/>
      <c r="G207" s="27"/>
      <c r="I207" s="4">
        <f t="shared" si="14"/>
        <v>13</v>
      </c>
    </row>
    <row r="208" spans="1:9" x14ac:dyDescent="0.25">
      <c r="A208" s="4">
        <f t="shared" si="13"/>
        <v>14</v>
      </c>
      <c r="F208" s="4"/>
      <c r="G208" s="4"/>
      <c r="I208" s="4">
        <f t="shared" si="14"/>
        <v>14</v>
      </c>
    </row>
    <row r="209" spans="1:9" x14ac:dyDescent="0.25">
      <c r="A209" s="4">
        <f t="shared" si="13"/>
        <v>15</v>
      </c>
      <c r="B209" s="250" t="s">
        <v>1060</v>
      </c>
      <c r="C209" s="217"/>
      <c r="D209" s="217"/>
      <c r="E209" s="217"/>
      <c r="F209" s="133"/>
      <c r="G209" s="133"/>
      <c r="H209" s="466"/>
      <c r="I209" s="4">
        <f t="shared" si="14"/>
        <v>15</v>
      </c>
    </row>
    <row r="210" spans="1:9" x14ac:dyDescent="0.25">
      <c r="A210" s="4">
        <f t="shared" si="13"/>
        <v>16</v>
      </c>
      <c r="B210" s="339"/>
      <c r="C210" s="217"/>
      <c r="D210" s="217"/>
      <c r="E210" s="217"/>
      <c r="F210" s="133"/>
      <c r="G210" s="133"/>
      <c r="H210" s="463"/>
      <c r="I210" s="4">
        <f t="shared" si="14"/>
        <v>16</v>
      </c>
    </row>
    <row r="211" spans="1:9" x14ac:dyDescent="0.25">
      <c r="A211" s="4">
        <f t="shared" si="13"/>
        <v>17</v>
      </c>
      <c r="B211" s="32" t="s">
        <v>1048</v>
      </c>
      <c r="C211" s="217"/>
      <c r="D211" s="217"/>
      <c r="E211" s="217"/>
      <c r="F211" s="133"/>
      <c r="G211" s="133"/>
      <c r="H211" s="463"/>
      <c r="I211" s="4">
        <f t="shared" si="14"/>
        <v>17</v>
      </c>
    </row>
    <row r="212" spans="1:9" x14ac:dyDescent="0.25">
      <c r="A212" s="4">
        <f t="shared" si="13"/>
        <v>18</v>
      </c>
      <c r="B212" s="31" t="s">
        <v>1945</v>
      </c>
      <c r="C212" s="217"/>
      <c r="D212" s="217"/>
      <c r="E212" s="217"/>
      <c r="F212" s="132">
        <f>F200</f>
        <v>0</v>
      </c>
      <c r="G212" s="27"/>
      <c r="H212" s="90" t="s">
        <v>1061</v>
      </c>
      <c r="I212" s="4">
        <f t="shared" si="14"/>
        <v>18</v>
      </c>
    </row>
    <row r="213" spans="1:9" x14ac:dyDescent="0.25">
      <c r="A213" s="4">
        <f t="shared" si="13"/>
        <v>19</v>
      </c>
      <c r="B213" s="31" t="s">
        <v>1062</v>
      </c>
      <c r="C213" s="217"/>
      <c r="D213" s="217"/>
      <c r="E213" s="217"/>
      <c r="F213" s="135">
        <v>0</v>
      </c>
      <c r="G213" s="27"/>
      <c r="H213" s="90" t="s">
        <v>1075</v>
      </c>
      <c r="I213" s="4">
        <f t="shared" si="14"/>
        <v>19</v>
      </c>
    </row>
    <row r="214" spans="1:9" x14ac:dyDescent="0.25">
      <c r="A214" s="4">
        <f t="shared" si="13"/>
        <v>20</v>
      </c>
      <c r="B214" s="31" t="s">
        <v>1052</v>
      </c>
      <c r="C214" s="217"/>
      <c r="D214" s="217"/>
      <c r="E214" s="217"/>
      <c r="F214" s="22">
        <f>F202</f>
        <v>0</v>
      </c>
      <c r="G214" s="44"/>
      <c r="H214" s="90" t="s">
        <v>1064</v>
      </c>
      <c r="I214" s="4">
        <f t="shared" si="14"/>
        <v>20</v>
      </c>
    </row>
    <row r="215" spans="1:9" x14ac:dyDescent="0.25">
      <c r="A215" s="4">
        <f t="shared" si="13"/>
        <v>21</v>
      </c>
      <c r="B215" s="31" t="s">
        <v>1076</v>
      </c>
      <c r="C215" s="217"/>
      <c r="D215" s="217"/>
      <c r="E215" s="217"/>
      <c r="F215" s="22">
        <f>F203</f>
        <v>0</v>
      </c>
      <c r="G215" s="44"/>
      <c r="H215" s="90" t="s">
        <v>1065</v>
      </c>
      <c r="I215" s="4">
        <f t="shared" si="14"/>
        <v>21</v>
      </c>
    </row>
    <row r="216" spans="1:9" x14ac:dyDescent="0.25">
      <c r="A216" s="4">
        <f t="shared" si="13"/>
        <v>22</v>
      </c>
      <c r="B216" s="31" t="s">
        <v>1066</v>
      </c>
      <c r="C216" s="217"/>
      <c r="D216" s="217"/>
      <c r="E216" s="217"/>
      <c r="F216" s="1139">
        <f>F206</f>
        <v>0</v>
      </c>
      <c r="G216" s="26"/>
      <c r="H216" s="90" t="s">
        <v>1067</v>
      </c>
      <c r="I216" s="4">
        <f t="shared" si="14"/>
        <v>22</v>
      </c>
    </row>
    <row r="217" spans="1:9" x14ac:dyDescent="0.25">
      <c r="A217" s="4">
        <f t="shared" si="13"/>
        <v>23</v>
      </c>
      <c r="B217" s="31" t="s">
        <v>1068</v>
      </c>
      <c r="C217" s="217"/>
      <c r="D217" s="217"/>
      <c r="E217" s="217"/>
      <c r="F217" s="923" t="str">
        <f>F128</f>
        <v>8.84%</v>
      </c>
      <c r="G217" s="217"/>
      <c r="H217" s="90" t="s">
        <v>1570</v>
      </c>
      <c r="I217" s="4">
        <f t="shared" si="14"/>
        <v>23</v>
      </c>
    </row>
    <row r="218" spans="1:9" x14ac:dyDescent="0.25">
      <c r="A218" s="4">
        <f t="shared" si="13"/>
        <v>24</v>
      </c>
      <c r="B218" s="1"/>
      <c r="C218" s="217"/>
      <c r="D218" s="217"/>
      <c r="E218" s="217"/>
      <c r="F218" s="134"/>
      <c r="G218" s="134"/>
      <c r="H218" s="468"/>
      <c r="I218" s="4">
        <f t="shared" si="14"/>
        <v>24</v>
      </c>
    </row>
    <row r="219" spans="1:9" x14ac:dyDescent="0.25">
      <c r="A219" s="4">
        <f t="shared" si="13"/>
        <v>25</v>
      </c>
      <c r="B219" s="31" t="s">
        <v>1071</v>
      </c>
      <c r="C219" s="4"/>
      <c r="D219" s="217"/>
      <c r="E219" s="217"/>
      <c r="F219" s="1054">
        <f>IFERROR((((F212)+(F214/F215)+F206)*F217-(F213/F215))/(1-F217),0)</f>
        <v>0</v>
      </c>
      <c r="G219" s="26"/>
      <c r="H219" s="90" t="s">
        <v>1072</v>
      </c>
      <c r="I219" s="4">
        <f t="shared" si="14"/>
        <v>25</v>
      </c>
    </row>
    <row r="220" spans="1:9" x14ac:dyDescent="0.25">
      <c r="A220" s="4">
        <f t="shared" si="13"/>
        <v>26</v>
      </c>
      <c r="B220" s="248" t="s">
        <v>1073</v>
      </c>
      <c r="C220" s="248"/>
      <c r="F220" s="4"/>
      <c r="G220" s="4"/>
      <c r="H220" s="90"/>
      <c r="I220" s="4">
        <f t="shared" si="14"/>
        <v>26</v>
      </c>
    </row>
    <row r="221" spans="1:9" x14ac:dyDescent="0.25">
      <c r="A221" s="4">
        <f t="shared" si="13"/>
        <v>27</v>
      </c>
      <c r="F221" s="4"/>
      <c r="G221" s="4"/>
      <c r="H221" s="90"/>
      <c r="I221" s="4">
        <f t="shared" si="14"/>
        <v>27</v>
      </c>
    </row>
    <row r="222" spans="1:9" x14ac:dyDescent="0.25">
      <c r="A222" s="4">
        <f t="shared" si="13"/>
        <v>28</v>
      </c>
      <c r="B222" s="250" t="s">
        <v>1513</v>
      </c>
      <c r="F222" s="1054">
        <f>F206+F219</f>
        <v>0</v>
      </c>
      <c r="G222" s="26"/>
      <c r="H222" s="90" t="s">
        <v>1074</v>
      </c>
      <c r="I222" s="4">
        <f t="shared" si="14"/>
        <v>28</v>
      </c>
    </row>
    <row r="223" spans="1:9" x14ac:dyDescent="0.25">
      <c r="A223" s="4">
        <f t="shared" si="13"/>
        <v>29</v>
      </c>
      <c r="F223" s="26"/>
      <c r="G223" s="26"/>
      <c r="H223" s="90"/>
      <c r="I223" s="4">
        <f t="shared" si="14"/>
        <v>29</v>
      </c>
    </row>
    <row r="224" spans="1:9" x14ac:dyDescent="0.25">
      <c r="A224" s="4">
        <f t="shared" si="13"/>
        <v>30</v>
      </c>
      <c r="B224" s="31" t="s">
        <v>1517</v>
      </c>
      <c r="F224" s="1106">
        <f>F203*F206</f>
        <v>0</v>
      </c>
      <c r="G224" s="26"/>
      <c r="H224" s="90" t="s">
        <v>1518</v>
      </c>
      <c r="I224" s="4">
        <f t="shared" si="14"/>
        <v>30</v>
      </c>
    </row>
    <row r="225" spans="1:9" x14ac:dyDescent="0.25">
      <c r="A225" s="4">
        <f t="shared" si="13"/>
        <v>31</v>
      </c>
      <c r="B225" s="31" t="s">
        <v>1519</v>
      </c>
      <c r="F225" s="1113">
        <f>F203*F219</f>
        <v>0</v>
      </c>
      <c r="G225" s="26"/>
      <c r="H225" s="90" t="s">
        <v>1520</v>
      </c>
      <c r="I225" s="4">
        <f t="shared" si="14"/>
        <v>31</v>
      </c>
    </row>
    <row r="226" spans="1:9" ht="16.5" thickBot="1" x14ac:dyDescent="0.3">
      <c r="A226" s="4">
        <f t="shared" si="13"/>
        <v>32</v>
      </c>
      <c r="B226" s="31" t="s">
        <v>1521</v>
      </c>
      <c r="F226" s="1181">
        <f>F224+F225</f>
        <v>0</v>
      </c>
      <c r="G226" s="26"/>
      <c r="H226" s="90" t="s">
        <v>99</v>
      </c>
      <c r="I226" s="4">
        <f t="shared" si="14"/>
        <v>32</v>
      </c>
    </row>
    <row r="227" spans="1:9" ht="16.5" thickTop="1" x14ac:dyDescent="0.25">
      <c r="A227" s="4">
        <f t="shared" si="13"/>
        <v>33</v>
      </c>
      <c r="F227" s="1106"/>
      <c r="G227" s="26"/>
      <c r="H227" s="90"/>
      <c r="I227" s="4">
        <f t="shared" si="14"/>
        <v>33</v>
      </c>
    </row>
    <row r="228" spans="1:9" x14ac:dyDescent="0.25">
      <c r="A228" s="4">
        <f t="shared" si="13"/>
        <v>34</v>
      </c>
      <c r="B228" s="250" t="s">
        <v>1515</v>
      </c>
      <c r="F228" s="867">
        <f>F75</f>
        <v>1.9329787401339494E-2</v>
      </c>
      <c r="G228" s="217"/>
      <c r="H228" s="90" t="s">
        <v>1941</v>
      </c>
      <c r="I228" s="4">
        <f t="shared" si="14"/>
        <v>34</v>
      </c>
    </row>
    <row r="229" spans="1:9" x14ac:dyDescent="0.25">
      <c r="A229" s="4">
        <f t="shared" si="13"/>
        <v>35</v>
      </c>
      <c r="B229" s="250"/>
      <c r="F229" s="26"/>
      <c r="G229" s="217"/>
      <c r="H229" s="90"/>
      <c r="I229" s="4">
        <f t="shared" si="14"/>
        <v>35</v>
      </c>
    </row>
    <row r="230" spans="1:9" ht="16.5" thickBot="1" x14ac:dyDescent="0.3">
      <c r="A230" s="4">
        <f t="shared" si="13"/>
        <v>36</v>
      </c>
      <c r="B230" s="31" t="s">
        <v>1527</v>
      </c>
      <c r="F230" s="1182">
        <f>F203*F228</f>
        <v>0</v>
      </c>
      <c r="G230" s="217"/>
      <c r="H230" s="90" t="s">
        <v>1522</v>
      </c>
      <c r="I230" s="4">
        <f t="shared" si="14"/>
        <v>36</v>
      </c>
    </row>
    <row r="231" spans="1:9" ht="16.5" thickTop="1" x14ac:dyDescent="0.25">
      <c r="A231" s="4">
        <f t="shared" si="13"/>
        <v>37</v>
      </c>
      <c r="F231" s="26"/>
      <c r="G231" s="26"/>
      <c r="H231" s="90"/>
      <c r="I231" s="4">
        <f t="shared" si="14"/>
        <v>37</v>
      </c>
    </row>
    <row r="232" spans="1:9" ht="19.5" thickBot="1" x14ac:dyDescent="0.3">
      <c r="A232" s="4">
        <f t="shared" si="13"/>
        <v>38</v>
      </c>
      <c r="B232" s="250" t="s">
        <v>1573</v>
      </c>
      <c r="F232" s="1122">
        <f>F222+F228</f>
        <v>1.9329787401339494E-2</v>
      </c>
      <c r="G232" s="26"/>
      <c r="H232" s="90" t="s">
        <v>1619</v>
      </c>
      <c r="I232" s="4">
        <f t="shared" si="14"/>
        <v>38</v>
      </c>
    </row>
    <row r="233" spans="1:9" ht="17.25" thickTop="1" thickBot="1" x14ac:dyDescent="0.3">
      <c r="A233" s="861">
        <f t="shared" si="13"/>
        <v>39</v>
      </c>
      <c r="B233" s="1117"/>
      <c r="C233" s="862"/>
      <c r="D233" s="862"/>
      <c r="E233" s="862"/>
      <c r="F233" s="1134"/>
      <c r="G233" s="1134"/>
      <c r="H233" s="863"/>
      <c r="I233" s="861">
        <f t="shared" si="14"/>
        <v>39</v>
      </c>
    </row>
    <row r="234" spans="1:9" x14ac:dyDescent="0.25">
      <c r="A234" s="4">
        <f t="shared" si="13"/>
        <v>40</v>
      </c>
      <c r="B234" s="250"/>
      <c r="F234" s="26"/>
      <c r="G234" s="26"/>
      <c r="H234" s="90"/>
      <c r="I234" s="4">
        <f t="shared" si="14"/>
        <v>40</v>
      </c>
    </row>
    <row r="235" spans="1:9" ht="18.75" x14ac:dyDescent="0.25">
      <c r="A235" s="4">
        <f t="shared" si="13"/>
        <v>41</v>
      </c>
      <c r="B235" s="250" t="s">
        <v>1555</v>
      </c>
      <c r="D235" s="217"/>
      <c r="E235" s="217"/>
      <c r="F235" s="41"/>
      <c r="G235" s="41"/>
      <c r="H235" s="90"/>
      <c r="I235" s="4">
        <f t="shared" si="14"/>
        <v>41</v>
      </c>
    </row>
    <row r="236" spans="1:9" x14ac:dyDescent="0.25">
      <c r="A236" s="4">
        <f t="shared" si="13"/>
        <v>42</v>
      </c>
      <c r="B236" s="33"/>
      <c r="D236" s="217"/>
      <c r="E236" s="217"/>
      <c r="F236" s="41"/>
      <c r="G236" s="41"/>
      <c r="H236" s="90"/>
      <c r="I236" s="4">
        <f t="shared" si="14"/>
        <v>42</v>
      </c>
    </row>
    <row r="237" spans="1:9" x14ac:dyDescent="0.25">
      <c r="A237" s="4">
        <f t="shared" si="13"/>
        <v>43</v>
      </c>
      <c r="B237" s="250" t="s">
        <v>1047</v>
      </c>
      <c r="D237" s="217"/>
      <c r="E237" s="217"/>
      <c r="F237" s="41"/>
      <c r="G237" s="41"/>
      <c r="H237" s="90"/>
      <c r="I237" s="4">
        <f t="shared" si="14"/>
        <v>43</v>
      </c>
    </row>
    <row r="238" spans="1:9" x14ac:dyDescent="0.25">
      <c r="A238" s="4">
        <f t="shared" si="13"/>
        <v>44</v>
      </c>
      <c r="B238" s="217"/>
      <c r="C238" s="217"/>
      <c r="D238" s="217"/>
      <c r="E238" s="217"/>
      <c r="F238" s="41"/>
      <c r="G238" s="41"/>
      <c r="H238" s="90"/>
      <c r="I238" s="4">
        <f t="shared" si="14"/>
        <v>44</v>
      </c>
    </row>
    <row r="239" spans="1:9" x14ac:dyDescent="0.25">
      <c r="A239" s="4">
        <f t="shared" si="13"/>
        <v>45</v>
      </c>
      <c r="B239" s="32" t="s">
        <v>1048</v>
      </c>
      <c r="C239" s="217"/>
      <c r="D239" s="217"/>
      <c r="E239" s="217"/>
      <c r="F239" s="41"/>
      <c r="G239" s="41"/>
      <c r="H239" s="463"/>
      <c r="I239" s="4">
        <f t="shared" si="14"/>
        <v>45</v>
      </c>
    </row>
    <row r="240" spans="1:9" x14ac:dyDescent="0.25">
      <c r="A240" s="4">
        <f t="shared" si="13"/>
        <v>46</v>
      </c>
      <c r="B240" s="31" t="s">
        <v>1556</v>
      </c>
      <c r="C240" s="217"/>
      <c r="D240" s="217"/>
      <c r="E240" s="217"/>
      <c r="F240" s="132">
        <f>F89</f>
        <v>0</v>
      </c>
      <c r="G240" s="217"/>
      <c r="H240" s="90" t="s">
        <v>1577</v>
      </c>
      <c r="I240" s="4">
        <f t="shared" si="14"/>
        <v>46</v>
      </c>
    </row>
    <row r="241" spans="1:9" x14ac:dyDescent="0.25">
      <c r="A241" s="4">
        <f t="shared" si="13"/>
        <v>47</v>
      </c>
      <c r="B241" s="31" t="s">
        <v>1050</v>
      </c>
      <c r="C241" s="217"/>
      <c r="D241" s="217"/>
      <c r="E241" s="217"/>
      <c r="F241" s="135">
        <v>0</v>
      </c>
      <c r="G241" s="217"/>
      <c r="H241" s="90" t="s">
        <v>1075</v>
      </c>
      <c r="I241" s="4">
        <f t="shared" si="14"/>
        <v>47</v>
      </c>
    </row>
    <row r="242" spans="1:9" x14ac:dyDescent="0.25">
      <c r="A242" s="4">
        <f t="shared" si="13"/>
        <v>48</v>
      </c>
      <c r="B242" s="31" t="s">
        <v>1052</v>
      </c>
      <c r="C242" s="217"/>
      <c r="D242" s="217"/>
      <c r="E242" s="217"/>
      <c r="F242" s="109">
        <v>0</v>
      </c>
      <c r="G242" s="217"/>
      <c r="H242" s="420" t="s">
        <v>263</v>
      </c>
      <c r="I242" s="4">
        <f t="shared" si="14"/>
        <v>48</v>
      </c>
    </row>
    <row r="243" spans="1:9" x14ac:dyDescent="0.25">
      <c r="A243" s="4">
        <f t="shared" si="13"/>
        <v>49</v>
      </c>
      <c r="B243" s="31" t="s">
        <v>1076</v>
      </c>
      <c r="C243" s="217"/>
      <c r="D243" s="217"/>
      <c r="E243" s="217"/>
      <c r="F243" s="22">
        <f>'BK-1 BTRR - EU'!E144</f>
        <v>0</v>
      </c>
      <c r="G243" s="217"/>
      <c r="H243" s="90" t="s">
        <v>1889</v>
      </c>
      <c r="I243" s="4">
        <f t="shared" si="14"/>
        <v>49</v>
      </c>
    </row>
    <row r="244" spans="1:9" x14ac:dyDescent="0.25">
      <c r="A244" s="4">
        <f t="shared" si="13"/>
        <v>50</v>
      </c>
      <c r="B244" s="31" t="s">
        <v>1054</v>
      </c>
      <c r="C244" s="217"/>
      <c r="D244" s="217"/>
      <c r="E244" s="217"/>
      <c r="F244" s="1055" t="str">
        <f>F155</f>
        <v>21%</v>
      </c>
      <c r="G244" s="217"/>
      <c r="H244" s="90" t="s">
        <v>1662</v>
      </c>
      <c r="I244" s="4">
        <f t="shared" si="14"/>
        <v>50</v>
      </c>
    </row>
    <row r="245" spans="1:9" x14ac:dyDescent="0.25">
      <c r="A245" s="4">
        <f t="shared" si="13"/>
        <v>51</v>
      </c>
      <c r="F245" s="4"/>
      <c r="G245" s="4"/>
      <c r="I245" s="4">
        <f t="shared" si="14"/>
        <v>51</v>
      </c>
    </row>
    <row r="246" spans="1:9" x14ac:dyDescent="0.25">
      <c r="A246" s="4">
        <f t="shared" si="13"/>
        <v>52</v>
      </c>
      <c r="B246" s="31" t="s">
        <v>1057</v>
      </c>
      <c r="C246" s="217"/>
      <c r="D246" s="217"/>
      <c r="E246" s="217"/>
      <c r="F246" s="1054">
        <f>IFERROR((((F240)+(F242/F243))*F244-(F241/F243))/(1-F244),0)</f>
        <v>0</v>
      </c>
      <c r="G246" s="26"/>
      <c r="H246" s="90" t="s">
        <v>1078</v>
      </c>
      <c r="I246" s="4">
        <f t="shared" si="14"/>
        <v>52</v>
      </c>
    </row>
    <row r="247" spans="1:9" x14ac:dyDescent="0.25">
      <c r="A247" s="4">
        <f t="shared" si="13"/>
        <v>53</v>
      </c>
      <c r="B247" s="248" t="s">
        <v>1059</v>
      </c>
      <c r="C247" s="248"/>
      <c r="F247" s="27"/>
      <c r="G247" s="27"/>
      <c r="I247" s="4">
        <f t="shared" si="14"/>
        <v>53</v>
      </c>
    </row>
    <row r="248" spans="1:9" x14ac:dyDescent="0.25">
      <c r="A248" s="4">
        <f t="shared" si="13"/>
        <v>54</v>
      </c>
      <c r="F248" s="4"/>
      <c r="G248" s="4"/>
      <c r="I248" s="4">
        <f t="shared" si="14"/>
        <v>54</v>
      </c>
    </row>
    <row r="249" spans="1:9" x14ac:dyDescent="0.25">
      <c r="A249" s="4">
        <f t="shared" si="13"/>
        <v>55</v>
      </c>
      <c r="B249" s="250" t="s">
        <v>1060</v>
      </c>
      <c r="C249" s="217"/>
      <c r="D249" s="217"/>
      <c r="E249" s="217"/>
      <c r="F249" s="133"/>
      <c r="G249" s="133"/>
      <c r="H249" s="466"/>
      <c r="I249" s="4">
        <f t="shared" si="14"/>
        <v>55</v>
      </c>
    </row>
    <row r="250" spans="1:9" x14ac:dyDescent="0.25">
      <c r="A250" s="4">
        <f t="shared" si="13"/>
        <v>56</v>
      </c>
      <c r="B250" s="339"/>
      <c r="C250" s="217"/>
      <c r="D250" s="217"/>
      <c r="E250" s="217"/>
      <c r="F250" s="133"/>
      <c r="G250" s="133"/>
      <c r="H250" s="463"/>
      <c r="I250" s="4">
        <f t="shared" si="14"/>
        <v>56</v>
      </c>
    </row>
    <row r="251" spans="1:9" x14ac:dyDescent="0.25">
      <c r="A251" s="4">
        <f t="shared" si="13"/>
        <v>57</v>
      </c>
      <c r="B251" s="32" t="s">
        <v>1048</v>
      </c>
      <c r="C251" s="217"/>
      <c r="D251" s="217"/>
      <c r="E251" s="217"/>
      <c r="F251" s="133"/>
      <c r="G251" s="133"/>
      <c r="H251" s="463"/>
      <c r="I251" s="4">
        <f t="shared" si="14"/>
        <v>57</v>
      </c>
    </row>
    <row r="252" spans="1:9" x14ac:dyDescent="0.25">
      <c r="A252" s="4">
        <f t="shared" si="13"/>
        <v>58</v>
      </c>
      <c r="B252" s="31" t="s">
        <v>1556</v>
      </c>
      <c r="C252" s="217"/>
      <c r="D252" s="217"/>
      <c r="E252" s="217"/>
      <c r="F252" s="132">
        <f>F240</f>
        <v>0</v>
      </c>
      <c r="G252" s="27"/>
      <c r="H252" s="90" t="s">
        <v>1561</v>
      </c>
      <c r="I252" s="4">
        <f t="shared" si="14"/>
        <v>58</v>
      </c>
    </row>
    <row r="253" spans="1:9" x14ac:dyDescent="0.25">
      <c r="A253" s="4">
        <f t="shared" si="13"/>
        <v>59</v>
      </c>
      <c r="B253" s="31" t="s">
        <v>1062</v>
      </c>
      <c r="C253" s="217"/>
      <c r="D253" s="217"/>
      <c r="E253" s="217"/>
      <c r="F253" s="135">
        <v>0</v>
      </c>
      <c r="G253" s="27"/>
      <c r="H253" s="90" t="s">
        <v>1075</v>
      </c>
      <c r="I253" s="4">
        <f t="shared" si="14"/>
        <v>59</v>
      </c>
    </row>
    <row r="254" spans="1:9" x14ac:dyDescent="0.25">
      <c r="A254" s="4">
        <f t="shared" si="13"/>
        <v>60</v>
      </c>
      <c r="B254" s="31" t="s">
        <v>1052</v>
      </c>
      <c r="C254" s="217"/>
      <c r="D254" s="217"/>
      <c r="E254" s="217"/>
      <c r="F254" s="22">
        <f>F242</f>
        <v>0</v>
      </c>
      <c r="G254" s="44"/>
      <c r="H254" s="90" t="s">
        <v>1653</v>
      </c>
      <c r="I254" s="4">
        <f t="shared" si="14"/>
        <v>60</v>
      </c>
    </row>
    <row r="255" spans="1:9" x14ac:dyDescent="0.25">
      <c r="A255" s="4">
        <f t="shared" si="13"/>
        <v>61</v>
      </c>
      <c r="B255" s="31" t="s">
        <v>1076</v>
      </c>
      <c r="C255" s="217"/>
      <c r="D255" s="217"/>
      <c r="E255" s="217"/>
      <c r="F255" s="22">
        <f>F243</f>
        <v>0</v>
      </c>
      <c r="G255" s="44"/>
      <c r="H255" s="90" t="s">
        <v>1654</v>
      </c>
      <c r="I255" s="4">
        <f t="shared" si="14"/>
        <v>61</v>
      </c>
    </row>
    <row r="256" spans="1:9" x14ac:dyDescent="0.25">
      <c r="A256" s="4">
        <f t="shared" si="13"/>
        <v>62</v>
      </c>
      <c r="B256" s="31" t="s">
        <v>1066</v>
      </c>
      <c r="C256" s="217"/>
      <c r="D256" s="217"/>
      <c r="E256" s="217"/>
      <c r="F256" s="1139">
        <f>F246</f>
        <v>0</v>
      </c>
      <c r="G256" s="26"/>
      <c r="H256" s="90" t="s">
        <v>1655</v>
      </c>
      <c r="I256" s="4">
        <f t="shared" si="14"/>
        <v>62</v>
      </c>
    </row>
    <row r="257" spans="1:9" x14ac:dyDescent="0.25">
      <c r="A257" s="4">
        <f t="shared" si="13"/>
        <v>63</v>
      </c>
      <c r="B257" s="31" t="s">
        <v>1068</v>
      </c>
      <c r="C257" s="217"/>
      <c r="D257" s="217"/>
      <c r="E257" s="217"/>
      <c r="F257" s="923" t="str">
        <f>F168</f>
        <v>8.84%</v>
      </c>
      <c r="G257" s="217"/>
      <c r="H257" s="90" t="s">
        <v>1663</v>
      </c>
      <c r="I257" s="4">
        <f t="shared" si="14"/>
        <v>63</v>
      </c>
    </row>
    <row r="258" spans="1:9" x14ac:dyDescent="0.25">
      <c r="A258" s="4">
        <f t="shared" si="13"/>
        <v>64</v>
      </c>
      <c r="B258" s="1"/>
      <c r="C258" s="217"/>
      <c r="D258" s="217"/>
      <c r="E258" s="217"/>
      <c r="F258" s="134"/>
      <c r="G258" s="134"/>
      <c r="H258" s="468"/>
      <c r="I258" s="4">
        <f t="shared" si="14"/>
        <v>64</v>
      </c>
    </row>
    <row r="259" spans="1:9" x14ac:dyDescent="0.25">
      <c r="A259" s="4">
        <f t="shared" si="13"/>
        <v>65</v>
      </c>
      <c r="B259" s="31" t="s">
        <v>1071</v>
      </c>
      <c r="C259" s="4"/>
      <c r="D259" s="217"/>
      <c r="E259" s="217"/>
      <c r="F259" s="1054">
        <f>IFERROR((((F252)+(F254/F255)+F246)*F257-(F253/F255))/(1-F257),0)</f>
        <v>0</v>
      </c>
      <c r="G259" s="26"/>
      <c r="H259" s="90" t="s">
        <v>1072</v>
      </c>
      <c r="I259" s="4">
        <f t="shared" si="14"/>
        <v>65</v>
      </c>
    </row>
    <row r="260" spans="1:9" x14ac:dyDescent="0.25">
      <c r="A260" s="4">
        <f t="shared" si="13"/>
        <v>66</v>
      </c>
      <c r="B260" s="248" t="s">
        <v>1073</v>
      </c>
      <c r="C260" s="248"/>
      <c r="F260" s="4"/>
      <c r="G260" s="4"/>
      <c r="H260" s="90"/>
      <c r="I260" s="4">
        <f t="shared" si="14"/>
        <v>66</v>
      </c>
    </row>
    <row r="261" spans="1:9" x14ac:dyDescent="0.25">
      <c r="A261" s="4">
        <f t="shared" si="13"/>
        <v>67</v>
      </c>
      <c r="F261" s="4"/>
      <c r="G261" s="4"/>
      <c r="H261" s="90"/>
      <c r="I261" s="4">
        <f t="shared" si="14"/>
        <v>67</v>
      </c>
    </row>
    <row r="262" spans="1:9" x14ac:dyDescent="0.25">
      <c r="A262" s="4">
        <f t="shared" si="13"/>
        <v>68</v>
      </c>
      <c r="B262" s="250" t="s">
        <v>1550</v>
      </c>
      <c r="F262" s="1054">
        <f>F246+F259</f>
        <v>0</v>
      </c>
      <c r="G262" s="26"/>
      <c r="H262" s="90" t="s">
        <v>1666</v>
      </c>
      <c r="I262" s="4">
        <f t="shared" si="14"/>
        <v>68</v>
      </c>
    </row>
    <row r="263" spans="1:9" x14ac:dyDescent="0.25">
      <c r="A263" s="4">
        <f t="shared" si="13"/>
        <v>69</v>
      </c>
      <c r="B263" s="250"/>
      <c r="F263" s="26"/>
      <c r="G263" s="26"/>
      <c r="H263" s="90"/>
      <c r="I263" s="4">
        <f t="shared" si="14"/>
        <v>69</v>
      </c>
    </row>
    <row r="264" spans="1:9" x14ac:dyDescent="0.25">
      <c r="A264" s="4">
        <f t="shared" si="13"/>
        <v>70</v>
      </c>
      <c r="B264" s="31" t="s">
        <v>1517</v>
      </c>
      <c r="F264" s="1106">
        <f>F243*F246</f>
        <v>0</v>
      </c>
      <c r="G264" s="26"/>
      <c r="H264" s="90" t="s">
        <v>1657</v>
      </c>
      <c r="I264" s="4">
        <f t="shared" si="14"/>
        <v>70</v>
      </c>
    </row>
    <row r="265" spans="1:9" x14ac:dyDescent="0.25">
      <c r="A265" s="4">
        <f t="shared" si="13"/>
        <v>71</v>
      </c>
      <c r="B265" s="31" t="s">
        <v>1519</v>
      </c>
      <c r="F265" s="1113">
        <f>F243*F259</f>
        <v>0</v>
      </c>
      <c r="G265" s="26"/>
      <c r="H265" s="90" t="s">
        <v>1658</v>
      </c>
      <c r="I265" s="4">
        <f t="shared" si="14"/>
        <v>71</v>
      </c>
    </row>
    <row r="266" spans="1:9" ht="16.5" thickBot="1" x14ac:dyDescent="0.3">
      <c r="A266" s="4">
        <f t="shared" si="13"/>
        <v>72</v>
      </c>
      <c r="B266" s="31" t="s">
        <v>1521</v>
      </c>
      <c r="F266" s="1181">
        <f>F264+F265</f>
        <v>0</v>
      </c>
      <c r="G266" s="26"/>
      <c r="H266" s="90" t="s">
        <v>1659</v>
      </c>
      <c r="I266" s="4">
        <f t="shared" si="14"/>
        <v>72</v>
      </c>
    </row>
    <row r="267" spans="1:9" ht="16.5" thickTop="1" x14ac:dyDescent="0.25">
      <c r="A267" s="4">
        <f t="shared" si="13"/>
        <v>73</v>
      </c>
      <c r="F267" s="4"/>
      <c r="G267" s="4"/>
      <c r="H267" s="90"/>
      <c r="I267" s="4">
        <f t="shared" si="14"/>
        <v>73</v>
      </c>
    </row>
    <row r="268" spans="1:9" x14ac:dyDescent="0.25">
      <c r="A268" s="4">
        <f t="shared" si="13"/>
        <v>74</v>
      </c>
      <c r="B268" s="250" t="s">
        <v>1563</v>
      </c>
      <c r="F268" s="867">
        <f>F87</f>
        <v>0</v>
      </c>
      <c r="G268" s="217"/>
      <c r="H268" s="90" t="s">
        <v>1942</v>
      </c>
      <c r="I268" s="4">
        <f t="shared" si="14"/>
        <v>74</v>
      </c>
    </row>
    <row r="269" spans="1:9" x14ac:dyDescent="0.25">
      <c r="A269" s="4">
        <f t="shared" si="13"/>
        <v>75</v>
      </c>
      <c r="B269" s="250"/>
      <c r="F269" s="26"/>
      <c r="G269" s="217"/>
      <c r="H269" s="90"/>
      <c r="I269" s="4">
        <f t="shared" si="14"/>
        <v>75</v>
      </c>
    </row>
    <row r="270" spans="1:9" ht="16.5" thickBot="1" x14ac:dyDescent="0.3">
      <c r="A270" s="4">
        <f t="shared" ref="A270:A272" si="15">A269+1</f>
        <v>76</v>
      </c>
      <c r="B270" s="31" t="s">
        <v>1527</v>
      </c>
      <c r="F270" s="1182">
        <f>F243*F268</f>
        <v>0</v>
      </c>
      <c r="G270" s="217"/>
      <c r="H270" s="90" t="s">
        <v>1664</v>
      </c>
      <c r="I270" s="4">
        <f t="shared" ref="I270:I271" si="16">I269+1</f>
        <v>76</v>
      </c>
    </row>
    <row r="271" spans="1:9" ht="16.5" thickTop="1" x14ac:dyDescent="0.25">
      <c r="A271" s="4">
        <f t="shared" si="15"/>
        <v>77</v>
      </c>
      <c r="F271" s="4"/>
      <c r="G271" s="4"/>
      <c r="H271" s="90"/>
      <c r="I271" s="4">
        <f t="shared" si="16"/>
        <v>77</v>
      </c>
    </row>
    <row r="272" spans="1:9" ht="19.5" thickBot="1" x14ac:dyDescent="0.3">
      <c r="A272" s="4">
        <f t="shared" si="15"/>
        <v>78</v>
      </c>
      <c r="B272" s="250" t="s">
        <v>1565</v>
      </c>
      <c r="F272" s="1122">
        <f>F262+F268</f>
        <v>0</v>
      </c>
      <c r="G272" s="26"/>
      <c r="H272" s="90" t="s">
        <v>1660</v>
      </c>
      <c r="I272" s="4">
        <f t="shared" ref="I272" si="17">I271+1</f>
        <v>78</v>
      </c>
    </row>
    <row r="273" spans="1:9" ht="16.5" thickTop="1" x14ac:dyDescent="0.25">
      <c r="B273" s="250"/>
      <c r="F273" s="26"/>
      <c r="G273" s="26"/>
      <c r="H273" s="90"/>
      <c r="I273" s="4"/>
    </row>
    <row r="275" spans="1:9" ht="18.75" x14ac:dyDescent="0.25">
      <c r="A275" s="265">
        <v>1</v>
      </c>
      <c r="B275" s="31" t="s">
        <v>1679</v>
      </c>
    </row>
    <row r="277" spans="1:9" ht="18.75" x14ac:dyDescent="0.25">
      <c r="A277" s="265"/>
    </row>
  </sheetData>
  <mergeCells count="22">
    <mergeCell ref="B97:H97"/>
    <mergeCell ref="B2:H2"/>
    <mergeCell ref="B3:H3"/>
    <mergeCell ref="B4:H4"/>
    <mergeCell ref="B5:H5"/>
    <mergeCell ref="B6:H6"/>
    <mergeCell ref="B59:H59"/>
    <mergeCell ref="B60:H60"/>
    <mergeCell ref="B61:H61"/>
    <mergeCell ref="B62:H62"/>
    <mergeCell ref="B63:H63"/>
    <mergeCell ref="B56:H57"/>
    <mergeCell ref="B94:H95"/>
    <mergeCell ref="B188:H188"/>
    <mergeCell ref="B189:H189"/>
    <mergeCell ref="B190:H190"/>
    <mergeCell ref="B98:H98"/>
    <mergeCell ref="B99:H99"/>
    <mergeCell ref="B100:H100"/>
    <mergeCell ref="B101:H101"/>
    <mergeCell ref="B186:H186"/>
    <mergeCell ref="B187:H187"/>
  </mergeCells>
  <printOptions horizontalCentered="1"/>
  <pageMargins left="0" right="0" top="0.5" bottom="0.5" header="0.25" footer="0.25"/>
  <pageSetup scale="49" fitToHeight="0" orientation="portrait" r:id="rId1"/>
  <headerFooter scaleWithDoc="0">
    <oddFooter>&amp;C&amp;"Times New Roman,Regular"&amp;10&amp;A
Page &amp;P of &amp;N</oddFooter>
    <evenFooter>&amp;C&amp;"Times New Roman,Regular"&amp;10AV3</evenFooter>
    <firstFooter>&amp;C&amp;"Times New Roman,Regular"&amp;10AV&amp;P</firstFooter>
  </headerFooter>
  <rowBreaks count="3" manualBreakCount="3">
    <brk id="57" max="16383" man="1"/>
    <brk id="95" max="9" man="1"/>
    <brk id="184" max="16383" man="1"/>
  </rowBreaks>
  <customProperties>
    <customPr name="_pios_id" r:id="rId2"/>
  </customProperties>
  <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08971-C1F9-4C17-ADC7-573B8FBF6EA7}">
  <sheetPr>
    <pageSetUpPr fitToPage="1"/>
  </sheetPr>
  <dimension ref="A2:G39"/>
  <sheetViews>
    <sheetView zoomScale="80" zoomScaleNormal="80" workbookViewId="0">
      <selection activeCell="C33" sqref="C33"/>
    </sheetView>
  </sheetViews>
  <sheetFormatPr defaultColWidth="8.7109375" defaultRowHeight="15.75" x14ac:dyDescent="0.25"/>
  <cols>
    <col min="1" max="1" width="5.28515625" style="340" customWidth="1"/>
    <col min="2" max="2" width="42.5703125" style="5" customWidth="1"/>
    <col min="3" max="3" width="35.7109375" style="5" customWidth="1"/>
    <col min="4" max="4" width="5.28515625" style="340" customWidth="1"/>
    <col min="5" max="16384" width="8.7109375" style="5"/>
  </cols>
  <sheetData>
    <row r="2" spans="1:7" ht="15.75" customHeight="1" x14ac:dyDescent="0.25">
      <c r="B2" s="1316" t="s">
        <v>1079</v>
      </c>
      <c r="C2" s="1316"/>
    </row>
    <row r="3" spans="1:7" ht="15.75" customHeight="1" x14ac:dyDescent="0.25">
      <c r="B3" s="1316" t="s">
        <v>1080</v>
      </c>
      <c r="C3" s="1316"/>
    </row>
    <row r="4" spans="1:7" ht="15.75" customHeight="1" x14ac:dyDescent="0.25">
      <c r="B4" s="1314" t="s">
        <v>2056</v>
      </c>
      <c r="C4" s="1314"/>
    </row>
    <row r="5" spans="1:7" x14ac:dyDescent="0.25">
      <c r="B5" s="1314" t="s">
        <v>2057</v>
      </c>
      <c r="C5" s="1314"/>
    </row>
    <row r="6" spans="1:7" ht="15.75" customHeight="1" x14ac:dyDescent="0.25">
      <c r="B6" s="1314" t="s">
        <v>2055</v>
      </c>
      <c r="C6" s="1314"/>
    </row>
    <row r="7" spans="1:7" ht="17.649999999999999" customHeight="1" x14ac:dyDescent="0.25">
      <c r="B7" s="1342">
        <v>-1000</v>
      </c>
      <c r="C7" s="1342"/>
      <c r="D7" s="46"/>
    </row>
    <row r="8" spans="1:7" ht="17.649999999999999" customHeight="1" thickBot="1" x14ac:dyDescent="0.3">
      <c r="B8" s="416"/>
      <c r="C8" s="416"/>
      <c r="D8" s="46"/>
    </row>
    <row r="9" spans="1:7" ht="17.649999999999999" customHeight="1" x14ac:dyDescent="0.25">
      <c r="B9" s="585"/>
      <c r="C9" s="587" t="s">
        <v>1081</v>
      </c>
      <c r="D9" s="46"/>
    </row>
    <row r="10" spans="1:7" ht="17.649999999999999" customHeight="1" x14ac:dyDescent="0.25">
      <c r="A10" s="46" t="s">
        <v>5</v>
      </c>
      <c r="B10" s="586"/>
      <c r="C10" s="588" t="s">
        <v>1082</v>
      </c>
      <c r="D10" s="46" t="s">
        <v>5</v>
      </c>
    </row>
    <row r="11" spans="1:7" ht="19.5" thickBot="1" x14ac:dyDescent="0.3">
      <c r="A11" s="473" t="s">
        <v>6</v>
      </c>
      <c r="B11" s="583" t="s">
        <v>1083</v>
      </c>
      <c r="C11" s="584" t="s">
        <v>1084</v>
      </c>
      <c r="D11" s="473" t="s">
        <v>6</v>
      </c>
    </row>
    <row r="12" spans="1:7" x14ac:dyDescent="0.25">
      <c r="A12" s="473"/>
      <c r="B12" s="474"/>
      <c r="C12" s="475"/>
      <c r="D12" s="473"/>
    </row>
    <row r="13" spans="1:7" x14ac:dyDescent="0.25">
      <c r="A13" s="340">
        <v>1</v>
      </c>
      <c r="B13" s="476" t="s">
        <v>1624</v>
      </c>
      <c r="C13" s="592">
        <v>1259.6763100000001</v>
      </c>
      <c r="D13" s="340">
        <f>A13</f>
        <v>1</v>
      </c>
      <c r="G13" s="141"/>
    </row>
    <row r="14" spans="1:7" x14ac:dyDescent="0.25">
      <c r="A14" s="340">
        <f>A13+1</f>
        <v>2</v>
      </c>
      <c r="B14" s="476"/>
      <c r="C14" s="572"/>
      <c r="D14" s="340">
        <f>D13+1</f>
        <v>2</v>
      </c>
    </row>
    <row r="15" spans="1:7" x14ac:dyDescent="0.25">
      <c r="A15" s="340">
        <f t="shared" ref="A15:A17" si="0">A14+1</f>
        <v>3</v>
      </c>
      <c r="B15" s="476" t="s">
        <v>1625</v>
      </c>
      <c r="C15" s="573">
        <v>7464.8672999999999</v>
      </c>
      <c r="D15" s="340">
        <f t="shared" ref="D15:D17" si="1">D14+1</f>
        <v>3</v>
      </c>
      <c r="G15" s="115"/>
    </row>
    <row r="16" spans="1:7" x14ac:dyDescent="0.25">
      <c r="A16" s="340">
        <f t="shared" si="0"/>
        <v>4</v>
      </c>
      <c r="B16" s="476"/>
      <c r="C16" s="573"/>
      <c r="D16" s="340">
        <f t="shared" si="1"/>
        <v>4</v>
      </c>
    </row>
    <row r="17" spans="1:4" ht="16.5" thickBot="1" x14ac:dyDescent="0.3">
      <c r="A17" s="340">
        <f t="shared" si="0"/>
        <v>5</v>
      </c>
      <c r="B17" s="659">
        <v>2021</v>
      </c>
      <c r="C17" s="182">
        <v>1015.0324900000001</v>
      </c>
      <c r="D17" s="340">
        <f t="shared" si="1"/>
        <v>5</v>
      </c>
    </row>
    <row r="18" spans="1:4" x14ac:dyDescent="0.25">
      <c r="A18" s="340">
        <f t="shared" ref="A18:A34" si="2">A17+1</f>
        <v>6</v>
      </c>
      <c r="B18" s="476"/>
      <c r="C18" s="573"/>
      <c r="D18" s="340">
        <f t="shared" ref="D18:D34" si="3">D17+1</f>
        <v>6</v>
      </c>
    </row>
    <row r="19" spans="1:4" x14ac:dyDescent="0.25">
      <c r="A19" s="340">
        <f t="shared" si="2"/>
        <v>7</v>
      </c>
      <c r="B19" s="476">
        <v>2022</v>
      </c>
      <c r="C19" s="573">
        <v>996.44925000000001</v>
      </c>
      <c r="D19" s="340">
        <f t="shared" si="3"/>
        <v>7</v>
      </c>
    </row>
    <row r="20" spans="1:4" x14ac:dyDescent="0.25">
      <c r="A20" s="340">
        <f t="shared" si="2"/>
        <v>8</v>
      </c>
      <c r="B20" s="476"/>
      <c r="C20" s="573"/>
      <c r="D20" s="340">
        <f t="shared" si="3"/>
        <v>8</v>
      </c>
    </row>
    <row r="21" spans="1:4" x14ac:dyDescent="0.25">
      <c r="A21" s="340">
        <f t="shared" si="2"/>
        <v>9</v>
      </c>
      <c r="B21" s="476">
        <v>2023</v>
      </c>
      <c r="C21" s="573">
        <v>1035.69237</v>
      </c>
      <c r="D21" s="340">
        <f t="shared" si="3"/>
        <v>9</v>
      </c>
    </row>
    <row r="22" spans="1:4" x14ac:dyDescent="0.25">
      <c r="A22" s="340">
        <f t="shared" si="2"/>
        <v>10</v>
      </c>
      <c r="B22" s="476"/>
      <c r="C22" s="573"/>
      <c r="D22" s="340">
        <f t="shared" si="3"/>
        <v>10</v>
      </c>
    </row>
    <row r="23" spans="1:4" x14ac:dyDescent="0.25">
      <c r="A23" s="340">
        <f t="shared" si="2"/>
        <v>11</v>
      </c>
      <c r="B23" s="476">
        <v>2024</v>
      </c>
      <c r="C23" s="573">
        <v>530.56794000000002</v>
      </c>
      <c r="D23" s="340">
        <f t="shared" si="3"/>
        <v>11</v>
      </c>
    </row>
    <row r="24" spans="1:4" x14ac:dyDescent="0.25">
      <c r="A24" s="340">
        <f t="shared" si="2"/>
        <v>12</v>
      </c>
      <c r="B24" s="476"/>
      <c r="C24" s="573"/>
      <c r="D24" s="340">
        <f t="shared" si="3"/>
        <v>12</v>
      </c>
    </row>
    <row r="25" spans="1:4" x14ac:dyDescent="0.25">
      <c r="A25" s="340">
        <f t="shared" si="2"/>
        <v>13</v>
      </c>
      <c r="B25" s="476">
        <v>2025</v>
      </c>
      <c r="C25" s="573">
        <v>322.38362999999998</v>
      </c>
      <c r="D25" s="340">
        <f t="shared" si="3"/>
        <v>13</v>
      </c>
    </row>
    <row r="26" spans="1:4" x14ac:dyDescent="0.25">
      <c r="A26" s="340">
        <f t="shared" si="2"/>
        <v>14</v>
      </c>
      <c r="B26" s="476"/>
      <c r="C26" s="236"/>
      <c r="D26" s="340">
        <f t="shared" si="3"/>
        <v>14</v>
      </c>
    </row>
    <row r="27" spans="1:4" x14ac:dyDescent="0.25">
      <c r="A27" s="340">
        <f t="shared" si="2"/>
        <v>15</v>
      </c>
      <c r="B27" s="476"/>
      <c r="C27" s="237"/>
      <c r="D27" s="340">
        <f t="shared" si="3"/>
        <v>15</v>
      </c>
    </row>
    <row r="28" spans="1:4" x14ac:dyDescent="0.25">
      <c r="A28" s="340">
        <f t="shared" si="2"/>
        <v>16</v>
      </c>
      <c r="B28" s="476" t="s">
        <v>180</v>
      </c>
      <c r="C28" s="238">
        <f>SUM(C13:C27)</f>
        <v>12624.669290000002</v>
      </c>
      <c r="D28" s="340">
        <f t="shared" si="3"/>
        <v>16</v>
      </c>
    </row>
    <row r="29" spans="1:4" x14ac:dyDescent="0.25">
      <c r="A29" s="340">
        <f t="shared" si="2"/>
        <v>17</v>
      </c>
      <c r="B29" s="476"/>
      <c r="C29" s="238"/>
      <c r="D29" s="340">
        <f t="shared" si="3"/>
        <v>17</v>
      </c>
    </row>
    <row r="30" spans="1:4" x14ac:dyDescent="0.25">
      <c r="A30" s="340">
        <f t="shared" si="2"/>
        <v>18</v>
      </c>
      <c r="B30" s="827" t="s">
        <v>1085</v>
      </c>
      <c r="C30" s="828">
        <f>-'AV-1B'!C19</f>
        <v>-197.33238</v>
      </c>
      <c r="D30" s="340">
        <f t="shared" si="3"/>
        <v>18</v>
      </c>
    </row>
    <row r="31" spans="1:4" x14ac:dyDescent="0.25">
      <c r="A31" s="340">
        <f t="shared" si="2"/>
        <v>19</v>
      </c>
      <c r="B31" s="476" t="s">
        <v>1086</v>
      </c>
      <c r="C31" s="236">
        <f>-'AV-1B'!C33</f>
        <v>-56.027447560000006</v>
      </c>
      <c r="D31" s="340">
        <f t="shared" si="3"/>
        <v>19</v>
      </c>
    </row>
    <row r="32" spans="1:4" x14ac:dyDescent="0.25">
      <c r="A32" s="340">
        <f t="shared" si="2"/>
        <v>20</v>
      </c>
      <c r="B32" s="476"/>
      <c r="C32" s="238"/>
      <c r="D32" s="340">
        <f t="shared" si="3"/>
        <v>20</v>
      </c>
    </row>
    <row r="33" spans="1:4" ht="48" thickBot="1" x14ac:dyDescent="0.3">
      <c r="A33" s="340">
        <f t="shared" si="2"/>
        <v>21</v>
      </c>
      <c r="B33" s="477" t="s">
        <v>1087</v>
      </c>
      <c r="C33" s="136">
        <f>SUM(C28:C31)</f>
        <v>12371.309462440002</v>
      </c>
      <c r="D33" s="340">
        <f t="shared" si="3"/>
        <v>21</v>
      </c>
    </row>
    <row r="34" spans="1:4" ht="17.25" thickTop="1" thickBot="1" x14ac:dyDescent="0.3">
      <c r="A34" s="340">
        <f t="shared" si="2"/>
        <v>22</v>
      </c>
      <c r="B34" s="660"/>
      <c r="C34" s="239"/>
      <c r="D34" s="340">
        <f t="shared" si="3"/>
        <v>22</v>
      </c>
    </row>
    <row r="37" spans="1:4" ht="18.75" x14ac:dyDescent="0.25">
      <c r="A37" s="252">
        <v>1</v>
      </c>
      <c r="B37" s="5" t="s">
        <v>1088</v>
      </c>
    </row>
    <row r="38" spans="1:4" x14ac:dyDescent="0.25">
      <c r="B38" s="5" t="s">
        <v>1089</v>
      </c>
    </row>
    <row r="39" spans="1:4" x14ac:dyDescent="0.25">
      <c r="B39" s="5" t="s">
        <v>1090</v>
      </c>
    </row>
  </sheetData>
  <mergeCells count="6">
    <mergeCell ref="B7:C7"/>
    <mergeCell ref="B2:C2"/>
    <mergeCell ref="B3:C3"/>
    <mergeCell ref="B4:C4"/>
    <mergeCell ref="B5:C5"/>
    <mergeCell ref="B6:C6"/>
  </mergeCells>
  <printOptions horizontalCentered="1"/>
  <pageMargins left="0.25" right="0.25" top="0.5" bottom="0.5" header="0.25" footer="0.25"/>
  <pageSetup orientation="portrait" r:id="rId1"/>
  <headerFooter scaleWithDoc="0" alignWithMargins="0">
    <oddFooter>&amp;C&amp;A</oddFooter>
  </headerFooter>
  <customProperties>
    <customPr name="_pios_id" r:id="rId2"/>
  </customPropertie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E34"/>
  <sheetViews>
    <sheetView zoomScale="80" zoomScaleNormal="80" workbookViewId="0">
      <selection activeCell="I37" sqref="I37"/>
    </sheetView>
  </sheetViews>
  <sheetFormatPr defaultColWidth="8.7109375" defaultRowHeight="15.75" x14ac:dyDescent="0.25"/>
  <cols>
    <col min="1" max="1" width="5.28515625" style="5" bestFit="1" customWidth="1"/>
    <col min="2" max="2" width="62.42578125" style="5" customWidth="1"/>
    <col min="3" max="3" width="18.5703125" style="5" customWidth="1"/>
    <col min="4" max="4" width="34.5703125" style="5" customWidth="1"/>
    <col min="5" max="5" width="5.28515625" style="340" bestFit="1" customWidth="1"/>
    <col min="6" max="16384" width="8.7109375" style="5"/>
  </cols>
  <sheetData>
    <row r="1" spans="1:5" x14ac:dyDescent="0.25">
      <c r="A1" s="340"/>
    </row>
    <row r="2" spans="1:5" x14ac:dyDescent="0.25">
      <c r="B2" s="1334" t="s">
        <v>1079</v>
      </c>
      <c r="C2" s="1334"/>
      <c r="D2" s="1334"/>
      <c r="E2" s="482"/>
    </row>
    <row r="3" spans="1:5" x14ac:dyDescent="0.25">
      <c r="B3" s="1339" t="s">
        <v>2054</v>
      </c>
      <c r="C3" s="1339"/>
      <c r="D3" s="1339"/>
      <c r="E3" s="482"/>
    </row>
    <row r="4" spans="1:5" x14ac:dyDescent="0.25">
      <c r="B4" s="1334" t="s">
        <v>1091</v>
      </c>
      <c r="C4" s="1334"/>
      <c r="D4" s="1334"/>
      <c r="E4" s="482"/>
    </row>
    <row r="5" spans="1:5" ht="15.75" customHeight="1" x14ac:dyDescent="0.25">
      <c r="B5" s="1314" t="s">
        <v>2055</v>
      </c>
      <c r="C5" s="1314"/>
      <c r="D5" s="1314"/>
    </row>
    <row r="6" spans="1:5" x14ac:dyDescent="0.25">
      <c r="B6" s="1342">
        <v>-1000</v>
      </c>
      <c r="C6" s="1342"/>
      <c r="D6" s="1342"/>
      <c r="E6" s="46"/>
    </row>
    <row r="7" spans="1:5" ht="16.5" thickBot="1" x14ac:dyDescent="0.3">
      <c r="A7" s="340"/>
      <c r="C7" s="340"/>
    </row>
    <row r="8" spans="1:5" x14ac:dyDescent="0.25">
      <c r="A8" s="340" t="s">
        <v>5</v>
      </c>
      <c r="B8" s="479"/>
      <c r="C8" s="480"/>
      <c r="D8" s="481"/>
      <c r="E8" s="340" t="s">
        <v>5</v>
      </c>
    </row>
    <row r="9" spans="1:5" ht="16.5" thickBot="1" x14ac:dyDescent="0.3">
      <c r="A9" s="340" t="s">
        <v>6</v>
      </c>
      <c r="B9" s="661" t="s">
        <v>311</v>
      </c>
      <c r="C9" s="662" t="s">
        <v>7</v>
      </c>
      <c r="D9" s="663" t="s">
        <v>8</v>
      </c>
      <c r="E9" s="340" t="s">
        <v>6</v>
      </c>
    </row>
    <row r="10" spans="1:5" x14ac:dyDescent="0.25">
      <c r="A10" s="482"/>
      <c r="B10" s="483"/>
      <c r="C10" s="829"/>
      <c r="D10" s="664"/>
      <c r="E10" s="482"/>
    </row>
    <row r="11" spans="1:5" x14ac:dyDescent="0.25">
      <c r="A11" s="340">
        <v>1</v>
      </c>
      <c r="B11" s="484" t="s">
        <v>1092</v>
      </c>
      <c r="C11" s="231">
        <v>8358</v>
      </c>
      <c r="D11" s="485"/>
      <c r="E11" s="340">
        <f>A11</f>
        <v>1</v>
      </c>
    </row>
    <row r="12" spans="1:5" x14ac:dyDescent="0.25">
      <c r="A12" s="340">
        <f>A11+1</f>
        <v>2</v>
      </c>
      <c r="B12" s="484"/>
      <c r="C12" s="231"/>
      <c r="D12" s="485"/>
      <c r="E12" s="340">
        <f>E11+1</f>
        <v>2</v>
      </c>
    </row>
    <row r="13" spans="1:5" x14ac:dyDescent="0.25">
      <c r="A13" s="340">
        <f t="shared" ref="A13:A23" si="0">A12+1</f>
        <v>3</v>
      </c>
      <c r="B13" s="484" t="s">
        <v>1093</v>
      </c>
      <c r="C13" s="571">
        <v>0.70830000000000004</v>
      </c>
      <c r="D13" s="485"/>
      <c r="E13" s="340">
        <f t="shared" ref="E13:E24" si="1">E12+1</f>
        <v>3</v>
      </c>
    </row>
    <row r="14" spans="1:5" x14ac:dyDescent="0.25">
      <c r="A14" s="340">
        <f t="shared" si="0"/>
        <v>4</v>
      </c>
      <c r="B14" s="484"/>
      <c r="C14" s="831"/>
      <c r="D14" s="485"/>
      <c r="E14" s="340">
        <f t="shared" si="1"/>
        <v>4</v>
      </c>
    </row>
    <row r="15" spans="1:5" x14ac:dyDescent="0.25">
      <c r="A15" s="340">
        <f t="shared" si="0"/>
        <v>5</v>
      </c>
      <c r="B15" s="484" t="s">
        <v>1094</v>
      </c>
      <c r="C15" s="953">
        <f>C11*C13</f>
        <v>5919.9714000000004</v>
      </c>
      <c r="D15" s="486" t="s">
        <v>832</v>
      </c>
      <c r="E15" s="340">
        <f t="shared" si="1"/>
        <v>5</v>
      </c>
    </row>
    <row r="16" spans="1:5" x14ac:dyDescent="0.25">
      <c r="A16" s="340">
        <f t="shared" si="0"/>
        <v>6</v>
      </c>
      <c r="B16" s="484"/>
      <c r="C16" s="833"/>
      <c r="D16" s="486"/>
      <c r="E16" s="340">
        <f t="shared" si="1"/>
        <v>6</v>
      </c>
    </row>
    <row r="17" spans="1:5" x14ac:dyDescent="0.25">
      <c r="A17" s="340">
        <f t="shared" si="0"/>
        <v>7</v>
      </c>
      <c r="B17" s="484" t="s">
        <v>1095</v>
      </c>
      <c r="C17" s="137">
        <f>1/30</f>
        <v>3.3333333333333333E-2</v>
      </c>
      <c r="D17" s="486" t="s">
        <v>1096</v>
      </c>
      <c r="E17" s="340">
        <f t="shared" si="1"/>
        <v>7</v>
      </c>
    </row>
    <row r="18" spans="1:5" x14ac:dyDescent="0.25">
      <c r="A18" s="340">
        <f t="shared" si="0"/>
        <v>8</v>
      </c>
      <c r="B18" s="484"/>
      <c r="C18" s="831"/>
      <c r="D18" s="486"/>
      <c r="E18" s="340">
        <f t="shared" si="1"/>
        <v>8</v>
      </c>
    </row>
    <row r="19" spans="1:5" ht="16.5" thickBot="1" x14ac:dyDescent="0.3">
      <c r="A19" s="340">
        <f t="shared" si="0"/>
        <v>9</v>
      </c>
      <c r="B19" s="484" t="s">
        <v>1097</v>
      </c>
      <c r="C19" s="138">
        <f>C15*C17</f>
        <v>197.33238</v>
      </c>
      <c r="D19" s="486" t="s">
        <v>1098</v>
      </c>
      <c r="E19" s="340">
        <f t="shared" si="1"/>
        <v>9</v>
      </c>
    </row>
    <row r="20" spans="1:5" ht="17.25" thickTop="1" thickBot="1" x14ac:dyDescent="0.3">
      <c r="A20" s="340">
        <f t="shared" si="0"/>
        <v>10</v>
      </c>
      <c r="B20" s="660"/>
      <c r="C20" s="665"/>
      <c r="D20" s="666"/>
      <c r="E20" s="340">
        <f t="shared" si="1"/>
        <v>10</v>
      </c>
    </row>
    <row r="21" spans="1:5" ht="16.5" thickBot="1" x14ac:dyDescent="0.3">
      <c r="A21" s="340">
        <f t="shared" si="0"/>
        <v>11</v>
      </c>
      <c r="E21" s="340">
        <f t="shared" si="1"/>
        <v>11</v>
      </c>
    </row>
    <row r="22" spans="1:5" x14ac:dyDescent="0.25">
      <c r="A22" s="340">
        <f t="shared" si="0"/>
        <v>12</v>
      </c>
      <c r="B22" s="479"/>
      <c r="C22" s="480"/>
      <c r="D22" s="481"/>
      <c r="E22" s="340">
        <f t="shared" si="1"/>
        <v>12</v>
      </c>
    </row>
    <row r="23" spans="1:5" ht="16.5" thickBot="1" x14ac:dyDescent="0.3">
      <c r="A23" s="340">
        <f t="shared" si="0"/>
        <v>13</v>
      </c>
      <c r="B23" s="661" t="s">
        <v>311</v>
      </c>
      <c r="C23" s="662" t="s">
        <v>7</v>
      </c>
      <c r="D23" s="663" t="s">
        <v>8</v>
      </c>
      <c r="E23" s="340">
        <f t="shared" si="1"/>
        <v>13</v>
      </c>
    </row>
    <row r="24" spans="1:5" x14ac:dyDescent="0.25">
      <c r="A24" s="340">
        <f t="shared" ref="A24:A34" si="2">A23+1</f>
        <v>14</v>
      </c>
      <c r="B24" s="483"/>
      <c r="C24" s="829"/>
      <c r="D24" s="664"/>
      <c r="E24" s="340">
        <f t="shared" si="1"/>
        <v>14</v>
      </c>
    </row>
    <row r="25" spans="1:5" x14ac:dyDescent="0.25">
      <c r="A25" s="340">
        <f t="shared" si="2"/>
        <v>15</v>
      </c>
      <c r="B25" s="484" t="s">
        <v>1099</v>
      </c>
      <c r="C25" s="830">
        <v>2282.4870000000001</v>
      </c>
      <c r="D25" s="485"/>
      <c r="E25" s="340">
        <f t="shared" ref="E25:E34" si="3">E24+1</f>
        <v>15</v>
      </c>
    </row>
    <row r="26" spans="1:5" x14ac:dyDescent="0.25">
      <c r="A26" s="340">
        <f t="shared" si="2"/>
        <v>16</v>
      </c>
      <c r="B26" s="515"/>
      <c r="C26" s="830"/>
      <c r="D26" s="485"/>
      <c r="E26" s="340">
        <f t="shared" si="3"/>
        <v>16</v>
      </c>
    </row>
    <row r="27" spans="1:5" x14ac:dyDescent="0.25">
      <c r="A27" s="340">
        <f t="shared" si="2"/>
        <v>17</v>
      </c>
      <c r="B27" s="515" t="s">
        <v>1100</v>
      </c>
      <c r="C27" s="571">
        <v>0.73640000000000005</v>
      </c>
      <c r="D27" s="485"/>
      <c r="E27" s="340">
        <f t="shared" si="3"/>
        <v>17</v>
      </c>
    </row>
    <row r="28" spans="1:5" x14ac:dyDescent="0.25">
      <c r="A28" s="340">
        <f t="shared" si="2"/>
        <v>18</v>
      </c>
      <c r="B28" s="484"/>
      <c r="C28" s="831"/>
      <c r="D28" s="485"/>
      <c r="E28" s="340">
        <f t="shared" si="3"/>
        <v>18</v>
      </c>
    </row>
    <row r="29" spans="1:5" x14ac:dyDescent="0.25">
      <c r="A29" s="340">
        <f t="shared" si="2"/>
        <v>19</v>
      </c>
      <c r="B29" s="484" t="s">
        <v>1101</v>
      </c>
      <c r="C29" s="832">
        <f>C25*C27</f>
        <v>1680.8234268000001</v>
      </c>
      <c r="D29" s="486" t="s">
        <v>847</v>
      </c>
      <c r="E29" s="340">
        <f t="shared" si="3"/>
        <v>19</v>
      </c>
    </row>
    <row r="30" spans="1:5" x14ac:dyDescent="0.25">
      <c r="A30" s="340">
        <f t="shared" si="2"/>
        <v>20</v>
      </c>
      <c r="B30" s="484"/>
      <c r="C30" s="833"/>
      <c r="D30" s="486"/>
      <c r="E30" s="340">
        <f t="shared" si="3"/>
        <v>20</v>
      </c>
    </row>
    <row r="31" spans="1:5" x14ac:dyDescent="0.25">
      <c r="A31" s="340">
        <f t="shared" si="2"/>
        <v>21</v>
      </c>
      <c r="B31" s="484" t="s">
        <v>1095</v>
      </c>
      <c r="C31" s="834">
        <f>1/30</f>
        <v>3.3333333333333333E-2</v>
      </c>
      <c r="D31" s="486" t="s">
        <v>1096</v>
      </c>
      <c r="E31" s="340">
        <f t="shared" si="3"/>
        <v>21</v>
      </c>
    </row>
    <row r="32" spans="1:5" x14ac:dyDescent="0.25">
      <c r="A32" s="340">
        <f t="shared" si="2"/>
        <v>22</v>
      </c>
      <c r="B32" s="484"/>
      <c r="C32" s="835"/>
      <c r="D32" s="486"/>
      <c r="E32" s="340">
        <f t="shared" si="3"/>
        <v>22</v>
      </c>
    </row>
    <row r="33" spans="1:5" ht="16.5" thickBot="1" x14ac:dyDescent="0.3">
      <c r="A33" s="340">
        <f t="shared" si="2"/>
        <v>23</v>
      </c>
      <c r="B33" s="484" t="s">
        <v>1097</v>
      </c>
      <c r="C33" s="836">
        <f>C29*C31</f>
        <v>56.027447560000006</v>
      </c>
      <c r="D33" s="486" t="s">
        <v>1102</v>
      </c>
      <c r="E33" s="340">
        <f t="shared" si="3"/>
        <v>23</v>
      </c>
    </row>
    <row r="34" spans="1:5" ht="17.25" thickTop="1" thickBot="1" x14ac:dyDescent="0.3">
      <c r="A34" s="340">
        <f t="shared" si="2"/>
        <v>24</v>
      </c>
      <c r="B34" s="660"/>
      <c r="C34" s="665"/>
      <c r="D34" s="666"/>
      <c r="E34" s="340">
        <f t="shared" si="3"/>
        <v>24</v>
      </c>
    </row>
  </sheetData>
  <mergeCells count="5">
    <mergeCell ref="B2:D2"/>
    <mergeCell ref="B3:D3"/>
    <mergeCell ref="B4:D4"/>
    <mergeCell ref="B5:D5"/>
    <mergeCell ref="B6:D6"/>
  </mergeCells>
  <printOptions horizontalCentered="1"/>
  <pageMargins left="0.5" right="0.5" top="0.5" bottom="0.5" header="0.25" footer="0.25"/>
  <pageSetup orientation="landscape" r:id="rId1"/>
  <headerFooter scaleWithDoc="0">
    <oddFooter>&amp;C&amp;"Times New Roman,Regular"&amp;10&amp;A</oddFooter>
  </headerFooter>
  <customProperties>
    <customPr name="_pios_id" r:id="rId2"/>
  </customPropertie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J25"/>
  <sheetViews>
    <sheetView zoomScale="80" zoomScaleNormal="80" workbookViewId="0">
      <selection activeCell="B28" sqref="B28"/>
    </sheetView>
  </sheetViews>
  <sheetFormatPr defaultColWidth="8.7109375" defaultRowHeight="15.75" x14ac:dyDescent="0.25"/>
  <cols>
    <col min="1" max="1" width="5.28515625" style="4" customWidth="1"/>
    <col min="2" max="2" width="60.7109375" style="31" customWidth="1"/>
    <col min="3" max="3" width="21.28515625" style="31" customWidth="1"/>
    <col min="4" max="4" width="1.5703125" style="31" customWidth="1"/>
    <col min="5" max="5" width="16.7109375" style="31" customWidth="1"/>
    <col min="6" max="6" width="1.5703125" style="31" customWidth="1"/>
    <col min="7" max="7" width="34.5703125" style="31" customWidth="1"/>
    <col min="8" max="8" width="5.28515625" style="31" customWidth="1"/>
    <col min="9" max="9" width="8.7109375" style="31"/>
    <col min="10" max="10" width="20.42578125" style="31" bestFit="1" customWidth="1"/>
    <col min="11" max="16384" width="8.7109375" style="31"/>
  </cols>
  <sheetData>
    <row r="1" spans="1:10" x14ac:dyDescent="0.25">
      <c r="E1" s="70"/>
      <c r="F1" s="70"/>
      <c r="G1" s="4"/>
      <c r="H1" s="4"/>
    </row>
    <row r="2" spans="1:10" x14ac:dyDescent="0.25">
      <c r="B2" s="1316" t="s">
        <v>0</v>
      </c>
      <c r="C2" s="1316"/>
      <c r="D2" s="1316"/>
      <c r="E2" s="1316"/>
      <c r="F2" s="1316"/>
      <c r="G2" s="1316"/>
      <c r="H2" s="4"/>
    </row>
    <row r="3" spans="1:10" x14ac:dyDescent="0.25">
      <c r="B3" s="1316" t="s">
        <v>1103</v>
      </c>
      <c r="C3" s="1316"/>
      <c r="D3" s="1316"/>
      <c r="E3" s="1317"/>
      <c r="F3" s="1317"/>
      <c r="G3" s="1317"/>
      <c r="H3" s="4"/>
    </row>
    <row r="4" spans="1:10" x14ac:dyDescent="0.25">
      <c r="B4" s="1318" t="str">
        <f>'Stmt AD'!B5</f>
        <v>Base Period &amp; True-Up Period 12 - Months Ending December 31, 2025</v>
      </c>
      <c r="C4" s="1318"/>
      <c r="D4" s="1318"/>
      <c r="E4" s="1318"/>
      <c r="F4" s="1318"/>
      <c r="G4" s="1318"/>
      <c r="H4" s="4"/>
    </row>
    <row r="5" spans="1:10" x14ac:dyDescent="0.25">
      <c r="B5" s="1312" t="s">
        <v>4</v>
      </c>
      <c r="C5" s="1313"/>
      <c r="D5" s="1313"/>
      <c r="E5" s="1313"/>
      <c r="F5" s="1313"/>
      <c r="G5" s="1313"/>
      <c r="H5" s="4"/>
    </row>
    <row r="6" spans="1:10" x14ac:dyDescent="0.25">
      <c r="B6" s="4"/>
      <c r="C6" s="4"/>
      <c r="D6" s="4"/>
      <c r="E6" s="4"/>
      <c r="F6" s="4"/>
      <c r="G6" s="4"/>
      <c r="H6" s="4"/>
    </row>
    <row r="7" spans="1:10" x14ac:dyDescent="0.25">
      <c r="A7" s="4" t="s">
        <v>5</v>
      </c>
      <c r="B7" s="336"/>
      <c r="C7" s="4" t="s">
        <v>210</v>
      </c>
      <c r="D7" s="217"/>
      <c r="E7" s="217"/>
      <c r="F7" s="217"/>
      <c r="G7" s="4"/>
      <c r="H7" s="4" t="s">
        <v>5</v>
      </c>
    </row>
    <row r="8" spans="1:10" x14ac:dyDescent="0.25">
      <c r="A8" s="4" t="s">
        <v>6</v>
      </c>
      <c r="B8" s="4"/>
      <c r="C8" s="848" t="s">
        <v>212</v>
      </c>
      <c r="D8" s="217"/>
      <c r="E8" s="848" t="s">
        <v>7</v>
      </c>
      <c r="F8" s="217"/>
      <c r="G8" s="848" t="s">
        <v>8</v>
      </c>
      <c r="H8" s="4" t="s">
        <v>6</v>
      </c>
    </row>
    <row r="9" spans="1:10" x14ac:dyDescent="0.25">
      <c r="C9" s="4"/>
      <c r="D9" s="4"/>
      <c r="F9" s="217"/>
      <c r="H9" s="4"/>
    </row>
    <row r="10" spans="1:10" ht="19.5" thickBot="1" x14ac:dyDescent="0.3">
      <c r="A10" s="4">
        <v>1</v>
      </c>
      <c r="B10" s="32" t="s">
        <v>1104</v>
      </c>
      <c r="E10" s="91">
        <v>0</v>
      </c>
      <c r="F10" s="217"/>
      <c r="G10" s="4"/>
      <c r="H10" s="4">
        <f>A10</f>
        <v>1</v>
      </c>
    </row>
    <row r="11" spans="1:10" ht="16.5" thickTop="1" x14ac:dyDescent="0.25">
      <c r="A11" s="4">
        <f>A10+1</f>
        <v>2</v>
      </c>
      <c r="F11" s="217"/>
      <c r="H11" s="4">
        <f>+H10+1</f>
        <v>2</v>
      </c>
    </row>
    <row r="12" spans="1:10" ht="19.5" thickBot="1" x14ac:dyDescent="0.3">
      <c r="A12" s="4">
        <f t="shared" ref="A12:A20" si="0">A11+1</f>
        <v>3</v>
      </c>
      <c r="B12" s="32" t="s">
        <v>1105</v>
      </c>
      <c r="E12" s="91">
        <v>0</v>
      </c>
      <c r="F12" s="217"/>
      <c r="G12" s="4"/>
      <c r="H12" s="4">
        <f t="shared" ref="H12:H18" si="1">+H11+1</f>
        <v>3</v>
      </c>
    </row>
    <row r="13" spans="1:10" ht="16.5" thickTop="1" x14ac:dyDescent="0.25">
      <c r="A13" s="4">
        <f t="shared" si="0"/>
        <v>4</v>
      </c>
      <c r="F13" s="217"/>
      <c r="H13" s="4">
        <f t="shared" si="1"/>
        <v>4</v>
      </c>
    </row>
    <row r="14" spans="1:10" ht="19.5" thickBot="1" x14ac:dyDescent="0.3">
      <c r="A14" s="4">
        <f t="shared" si="0"/>
        <v>5</v>
      </c>
      <c r="B14" s="32" t="s">
        <v>1106</v>
      </c>
      <c r="E14" s="91">
        <v>0</v>
      </c>
      <c r="F14" s="217"/>
      <c r="G14" s="4"/>
      <c r="H14" s="4">
        <f t="shared" si="1"/>
        <v>5</v>
      </c>
    </row>
    <row r="15" spans="1:10" ht="16.5" thickTop="1" x14ac:dyDescent="0.25">
      <c r="A15" s="4">
        <f t="shared" si="0"/>
        <v>6</v>
      </c>
      <c r="B15" s="32"/>
      <c r="E15" s="35"/>
      <c r="F15" s="217"/>
      <c r="G15" s="4"/>
      <c r="H15" s="4">
        <f t="shared" si="1"/>
        <v>6</v>
      </c>
    </row>
    <row r="16" spans="1:10" ht="19.5" thickBot="1" x14ac:dyDescent="0.3">
      <c r="A16" s="4">
        <f t="shared" si="0"/>
        <v>7</v>
      </c>
      <c r="B16" s="32" t="s">
        <v>1860</v>
      </c>
      <c r="E16" s="91">
        <f>'Misc.-1'!G22</f>
        <v>-11663.000464325965</v>
      </c>
      <c r="F16" s="217"/>
      <c r="G16" s="4" t="s">
        <v>1769</v>
      </c>
      <c r="H16" s="4">
        <f t="shared" si="1"/>
        <v>7</v>
      </c>
      <c r="J16" s="276"/>
    </row>
    <row r="17" spans="1:8" ht="16.5" thickTop="1" x14ac:dyDescent="0.25">
      <c r="A17" s="4">
        <f t="shared" si="0"/>
        <v>8</v>
      </c>
      <c r="F17" s="217"/>
      <c r="H17" s="4">
        <f t="shared" si="1"/>
        <v>8</v>
      </c>
    </row>
    <row r="18" spans="1:8" ht="19.5" thickBot="1" x14ac:dyDescent="0.3">
      <c r="A18" s="4">
        <f t="shared" si="0"/>
        <v>9</v>
      </c>
      <c r="B18" s="32" t="s">
        <v>1107</v>
      </c>
      <c r="E18" s="91">
        <v>0</v>
      </c>
      <c r="F18" s="217"/>
      <c r="G18" s="4"/>
      <c r="H18" s="4">
        <f t="shared" si="1"/>
        <v>9</v>
      </c>
    </row>
    <row r="19" spans="1:8" ht="16.5" thickTop="1" x14ac:dyDescent="0.25">
      <c r="A19" s="4">
        <f t="shared" si="0"/>
        <v>10</v>
      </c>
      <c r="B19" s="32"/>
      <c r="E19" s="35"/>
      <c r="F19" s="4"/>
      <c r="G19" s="4"/>
      <c r="H19" s="4">
        <f t="shared" ref="H19:H20" si="2">H18+1</f>
        <v>10</v>
      </c>
    </row>
    <row r="20" spans="1:8" ht="16.5" thickBot="1" x14ac:dyDescent="0.3">
      <c r="A20" s="4">
        <f t="shared" si="0"/>
        <v>11</v>
      </c>
      <c r="B20" s="31" t="s">
        <v>1791</v>
      </c>
      <c r="E20" s="91">
        <f>'Misc.-2'!G15</f>
        <v>0</v>
      </c>
      <c r="F20" s="4"/>
      <c r="G20" s="4" t="s">
        <v>1792</v>
      </c>
      <c r="H20" s="4">
        <f t="shared" si="2"/>
        <v>11</v>
      </c>
    </row>
    <row r="21" spans="1:8" ht="16.5" thickTop="1" x14ac:dyDescent="0.25">
      <c r="H21" s="4"/>
    </row>
    <row r="22" spans="1:8" x14ac:dyDescent="0.25">
      <c r="H22" s="4"/>
    </row>
    <row r="23" spans="1:8" ht="18.75" x14ac:dyDescent="0.25">
      <c r="A23" s="265">
        <v>1</v>
      </c>
      <c r="B23" s="31" t="s">
        <v>2059</v>
      </c>
      <c r="H23" s="4"/>
    </row>
    <row r="24" spans="1:8" x14ac:dyDescent="0.25">
      <c r="B24" s="31" t="s">
        <v>1108</v>
      </c>
    </row>
    <row r="25" spans="1:8" ht="18.75" x14ac:dyDescent="0.25">
      <c r="A25" s="265">
        <v>2</v>
      </c>
      <c r="B25" s="31" t="s">
        <v>1955</v>
      </c>
    </row>
  </sheetData>
  <mergeCells count="4">
    <mergeCell ref="B2:G2"/>
    <mergeCell ref="B3:G3"/>
    <mergeCell ref="B4:G4"/>
    <mergeCell ref="B5:G5"/>
  </mergeCells>
  <printOptions horizontalCentered="1"/>
  <pageMargins left="0.5" right="0.5" top="0.5" bottom="0.5" header="0.25" footer="0.25"/>
  <pageSetup scale="65" orientation="portrait" r:id="rId1"/>
  <headerFooter scaleWithDoc="0">
    <oddFooter>&amp;C&amp;"Times New Roman,Regular"&amp;10&amp;A</oddFooter>
  </headerFooter>
  <customProperties>
    <customPr name="_pios_id" r:id="rId2"/>
  </customPropertie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26F9B-C7D7-4D25-AC7B-64A33DBCED39}">
  <sheetPr>
    <pageSetUpPr fitToPage="1"/>
  </sheetPr>
  <dimension ref="A2:J35"/>
  <sheetViews>
    <sheetView topLeftCell="A4" zoomScale="80" zoomScaleNormal="80" workbookViewId="0">
      <selection activeCell="B41" sqref="B41"/>
    </sheetView>
  </sheetViews>
  <sheetFormatPr defaultColWidth="8.7109375" defaultRowHeight="15.75" x14ac:dyDescent="0.25"/>
  <cols>
    <col min="1" max="1" width="5.28515625" style="4" customWidth="1"/>
    <col min="2" max="2" width="56.28515625" style="31" customWidth="1"/>
    <col min="3" max="3" width="17.85546875" style="31" bestFit="1" customWidth="1"/>
    <col min="4" max="4" width="2.7109375" style="31" bestFit="1" customWidth="1"/>
    <col min="5" max="5" width="16.7109375" style="31" customWidth="1"/>
    <col min="6" max="6" width="1.5703125" style="31" customWidth="1"/>
    <col min="7" max="7" width="18.42578125" style="31" customWidth="1"/>
    <col min="8" max="8" width="50.7109375" style="31" customWidth="1"/>
    <col min="9" max="9" width="5.28515625" style="4" customWidth="1"/>
    <col min="10" max="16384" width="8.7109375" style="31"/>
  </cols>
  <sheetData>
    <row r="2" spans="1:9" x14ac:dyDescent="0.25">
      <c r="B2" s="1316" t="s">
        <v>0</v>
      </c>
      <c r="C2" s="1316"/>
      <c r="D2" s="1316"/>
      <c r="E2" s="1316"/>
      <c r="F2" s="1316"/>
      <c r="G2" s="1316"/>
      <c r="H2" s="1316"/>
    </row>
    <row r="3" spans="1:9" x14ac:dyDescent="0.25">
      <c r="B3" s="1316" t="s">
        <v>1109</v>
      </c>
      <c r="C3" s="1316"/>
      <c r="D3" s="1316"/>
      <c r="E3" s="1316"/>
      <c r="F3" s="1316"/>
      <c r="G3" s="1316"/>
      <c r="H3" s="1316"/>
    </row>
    <row r="4" spans="1:9" x14ac:dyDescent="0.25">
      <c r="B4" s="1316" t="s">
        <v>1110</v>
      </c>
      <c r="C4" s="1316"/>
      <c r="D4" s="1316"/>
      <c r="E4" s="1316"/>
      <c r="F4" s="1316"/>
      <c r="G4" s="1316"/>
      <c r="H4" s="1316"/>
    </row>
    <row r="5" spans="1:9" x14ac:dyDescent="0.25">
      <c r="B5" s="1316" t="str">
        <f>'AR-1'!B5</f>
        <v>BASE PERIOD 12 MONTHS ENDING DECEMBER 31, 2025</v>
      </c>
      <c r="C5" s="1316"/>
      <c r="D5" s="1316"/>
      <c r="E5" s="1316"/>
      <c r="F5" s="1316"/>
      <c r="G5" s="1316"/>
      <c r="H5" s="1316"/>
    </row>
    <row r="6" spans="1:9" ht="15.75" customHeight="1" x14ac:dyDescent="0.25">
      <c r="B6" s="1312" t="s">
        <v>4</v>
      </c>
      <c r="C6" s="1312"/>
      <c r="D6" s="1312"/>
      <c r="E6" s="1312"/>
      <c r="F6" s="1312"/>
      <c r="G6" s="1312"/>
      <c r="H6" s="1312"/>
    </row>
    <row r="8" spans="1:9" x14ac:dyDescent="0.25">
      <c r="C8" s="34" t="s">
        <v>187</v>
      </c>
      <c r="D8" s="34"/>
      <c r="E8" s="34" t="s">
        <v>188</v>
      </c>
      <c r="G8" s="34" t="s">
        <v>1779</v>
      </c>
      <c r="H8" s="6"/>
    </row>
    <row r="9" spans="1:9" x14ac:dyDescent="0.25">
      <c r="A9" s="4" t="s">
        <v>5</v>
      </c>
      <c r="B9" s="749"/>
      <c r="C9" s="749"/>
      <c r="D9" s="749"/>
      <c r="E9" s="1229" t="s">
        <v>1776</v>
      </c>
      <c r="F9" s="6"/>
      <c r="G9" s="11" t="s">
        <v>295</v>
      </c>
      <c r="H9" s="6"/>
      <c r="I9" s="4" t="s">
        <v>5</v>
      </c>
    </row>
    <row r="10" spans="1:9" x14ac:dyDescent="0.25">
      <c r="A10" s="4" t="s">
        <v>6</v>
      </c>
      <c r="B10" s="848" t="s">
        <v>311</v>
      </c>
      <c r="C10" s="848" t="s">
        <v>213</v>
      </c>
      <c r="D10" s="917"/>
      <c r="E10" s="848" t="s">
        <v>1433</v>
      </c>
      <c r="F10" s="917"/>
      <c r="G10" s="848" t="s">
        <v>1777</v>
      </c>
      <c r="H10" s="848" t="s">
        <v>8</v>
      </c>
      <c r="I10" s="4" t="s">
        <v>6</v>
      </c>
    </row>
    <row r="11" spans="1:9" x14ac:dyDescent="0.25">
      <c r="C11" s="4"/>
    </row>
    <row r="12" spans="1:9" ht="18.75" x14ac:dyDescent="0.25">
      <c r="A12" s="4">
        <v>1</v>
      </c>
      <c r="B12" s="32" t="s">
        <v>1867</v>
      </c>
      <c r="C12" s="1217">
        <f>'Misc.-1.1'!M11</f>
        <v>-934.84797400000002</v>
      </c>
      <c r="E12" s="1239">
        <f>+G28</f>
        <v>0.16791030621515227</v>
      </c>
      <c r="G12" s="6">
        <f>C12*E12</f>
        <v>-156.97060957895471</v>
      </c>
      <c r="H12" s="44" t="s">
        <v>1795</v>
      </c>
      <c r="I12" s="4">
        <v>1</v>
      </c>
    </row>
    <row r="13" spans="1:9" x14ac:dyDescent="0.25">
      <c r="A13" s="4">
        <f>A12+1</f>
        <v>2</v>
      </c>
      <c r="H13" s="44"/>
      <c r="I13" s="4">
        <f>I12+1</f>
        <v>2</v>
      </c>
    </row>
    <row r="14" spans="1:9" ht="18.75" x14ac:dyDescent="0.25">
      <c r="A14" s="4">
        <f t="shared" ref="A14:A22" si="0">A13+1</f>
        <v>3</v>
      </c>
      <c r="B14" s="32" t="s">
        <v>1861</v>
      </c>
      <c r="C14" s="1217">
        <f>'Misc.-1.1'!M13</f>
        <v>-11760.181732000001</v>
      </c>
      <c r="E14" s="1239">
        <f>+G28</f>
        <v>0.16791030621515227</v>
      </c>
      <c r="G14" s="6">
        <f>C14*E14</f>
        <v>-1974.6557157659599</v>
      </c>
      <c r="H14" s="44" t="s">
        <v>1796</v>
      </c>
      <c r="I14" s="4">
        <f t="shared" ref="I14:I33" si="1">I13+1</f>
        <v>3</v>
      </c>
    </row>
    <row r="15" spans="1:9" x14ac:dyDescent="0.25">
      <c r="A15" s="4">
        <f t="shared" si="0"/>
        <v>4</v>
      </c>
      <c r="H15" s="44"/>
      <c r="I15" s="4">
        <f t="shared" si="1"/>
        <v>4</v>
      </c>
    </row>
    <row r="16" spans="1:9" ht="18.75" x14ac:dyDescent="0.25">
      <c r="A16" s="4">
        <f t="shared" si="0"/>
        <v>5</v>
      </c>
      <c r="B16" s="32" t="s">
        <v>1862</v>
      </c>
      <c r="C16" s="1217">
        <f>'Misc.-1.1'!M15</f>
        <v>-26416.810982000003</v>
      </c>
      <c r="E16" s="1239">
        <f>'AD-10'!D$18*'Stmt AI'!E$25</f>
        <v>0.14532549876825518</v>
      </c>
      <c r="G16" s="6">
        <f>C16*E16</f>
        <v>-3839.0362318258713</v>
      </c>
      <c r="H16" s="44" t="s">
        <v>1797</v>
      </c>
      <c r="I16" s="4">
        <f t="shared" si="1"/>
        <v>5</v>
      </c>
    </row>
    <row r="17" spans="1:10" x14ac:dyDescent="0.25">
      <c r="A17" s="4">
        <f t="shared" si="0"/>
        <v>6</v>
      </c>
      <c r="H17" s="44"/>
      <c r="I17" s="4">
        <f t="shared" si="1"/>
        <v>6</v>
      </c>
    </row>
    <row r="18" spans="1:10" ht="18.75" x14ac:dyDescent="0.25">
      <c r="A18" s="4">
        <f t="shared" si="0"/>
        <v>7</v>
      </c>
      <c r="B18" s="32" t="s">
        <v>1863</v>
      </c>
      <c r="C18" s="1217">
        <f>'Misc.-1.1'!M17</f>
        <v>-39169.574199999995</v>
      </c>
      <c r="E18" s="1239">
        <f>'AD-10'!D$18*'Stmt AI'!E$25</f>
        <v>0.14532549876825518</v>
      </c>
      <c r="G18" s="6">
        <f>C18*E18</f>
        <v>-5692.337907155179</v>
      </c>
      <c r="H18" s="44" t="s">
        <v>1798</v>
      </c>
      <c r="I18" s="4">
        <f t="shared" si="1"/>
        <v>7</v>
      </c>
    </row>
    <row r="19" spans="1:10" x14ac:dyDescent="0.25">
      <c r="A19" s="4">
        <f t="shared" si="0"/>
        <v>8</v>
      </c>
      <c r="H19" s="44"/>
      <c r="I19" s="4">
        <f t="shared" si="1"/>
        <v>8</v>
      </c>
    </row>
    <row r="20" spans="1:10" ht="18.75" x14ac:dyDescent="0.25">
      <c r="A20" s="4" t="str">
        <f>'Misc.-1.1'!A19</f>
        <v>9a</v>
      </c>
      <c r="B20" s="32" t="s">
        <v>1868</v>
      </c>
      <c r="C20" s="1231">
        <f>'Misc.-1.1'!M19</f>
        <v>0</v>
      </c>
      <c r="D20" s="917"/>
      <c r="E20" s="1232">
        <f>'AD-10'!D$18*'Stmt AI'!E$25</f>
        <v>0.14532549876825518</v>
      </c>
      <c r="F20" s="917"/>
      <c r="G20" s="875">
        <f>C20*E20</f>
        <v>0</v>
      </c>
      <c r="H20" s="44" t="s">
        <v>1845</v>
      </c>
      <c r="I20" s="4">
        <f t="shared" si="1"/>
        <v>9</v>
      </c>
      <c r="J20" s="254"/>
    </row>
    <row r="21" spans="1:10" x14ac:dyDescent="0.25">
      <c r="A21" s="4">
        <f>'Misc.-1.1'!A20</f>
        <v>10</v>
      </c>
      <c r="H21" s="44"/>
      <c r="I21" s="4">
        <f t="shared" si="1"/>
        <v>10</v>
      </c>
    </row>
    <row r="22" spans="1:10" ht="16.5" thickBot="1" x14ac:dyDescent="0.3">
      <c r="A22" s="4">
        <f t="shared" si="0"/>
        <v>11</v>
      </c>
      <c r="B22" s="31" t="s">
        <v>1114</v>
      </c>
      <c r="C22" s="1233">
        <f>SUM(C12:C20)</f>
        <v>-78281.414887999999</v>
      </c>
      <c r="G22" s="1233">
        <f>SUM(G12:G20)</f>
        <v>-11663.000464325965</v>
      </c>
      <c r="H22" s="4" t="s">
        <v>1770</v>
      </c>
      <c r="I22" s="4">
        <f t="shared" si="1"/>
        <v>11</v>
      </c>
      <c r="J22" s="276"/>
    </row>
    <row r="23" spans="1:10" ht="16.5" thickTop="1" x14ac:dyDescent="0.25">
      <c r="I23" s="4">
        <f t="shared" si="1"/>
        <v>12</v>
      </c>
    </row>
    <row r="24" spans="1:10" x14ac:dyDescent="0.25">
      <c r="I24" s="4">
        <f t="shared" si="1"/>
        <v>13</v>
      </c>
    </row>
    <row r="25" spans="1:10" ht="18.75" x14ac:dyDescent="0.25">
      <c r="A25" s="34" t="s">
        <v>1864</v>
      </c>
      <c r="B25" s="31" t="s">
        <v>1865</v>
      </c>
      <c r="H25" s="4"/>
      <c r="I25" s="4">
        <f t="shared" si="1"/>
        <v>14</v>
      </c>
    </row>
    <row r="26" spans="1:10" x14ac:dyDescent="0.25">
      <c r="A26" s="4" t="s">
        <v>1129</v>
      </c>
      <c r="B26" s="31" t="s">
        <v>1130</v>
      </c>
      <c r="G26" s="47">
        <f>+'AD-10'!D18</f>
        <v>0.70169999999999999</v>
      </c>
      <c r="H26" s="4" t="s">
        <v>1869</v>
      </c>
      <c r="I26" s="4">
        <f t="shared" si="1"/>
        <v>15</v>
      </c>
    </row>
    <row r="27" spans="1:10" x14ac:dyDescent="0.25">
      <c r="A27" s="4" t="s">
        <v>1131</v>
      </c>
      <c r="B27" s="31" t="s">
        <v>1767</v>
      </c>
      <c r="G27" s="47">
        <f>+'Stmt AH'!E51</f>
        <v>0.23929073138827456</v>
      </c>
      <c r="H27" s="4" t="s">
        <v>1870</v>
      </c>
      <c r="I27" s="4">
        <f t="shared" si="1"/>
        <v>16</v>
      </c>
    </row>
    <row r="28" spans="1:10" ht="16.5" thickBot="1" x14ac:dyDescent="0.3">
      <c r="A28" s="4" t="s">
        <v>1132</v>
      </c>
      <c r="B28" s="31" t="s">
        <v>1117</v>
      </c>
      <c r="G28" s="626">
        <f>G26*G27</f>
        <v>0.16791030621515227</v>
      </c>
      <c r="H28" s="4" t="s">
        <v>1695</v>
      </c>
      <c r="I28" s="4">
        <f t="shared" si="1"/>
        <v>17</v>
      </c>
    </row>
    <row r="29" spans="1:10" ht="16.5" thickTop="1" x14ac:dyDescent="0.25">
      <c r="H29" s="4"/>
      <c r="I29" s="4">
        <f t="shared" si="1"/>
        <v>18</v>
      </c>
    </row>
    <row r="30" spans="1:10" ht="18.75" x14ac:dyDescent="0.25">
      <c r="A30" s="1234" t="s">
        <v>1832</v>
      </c>
      <c r="B30" s="31" t="s">
        <v>1866</v>
      </c>
      <c r="H30" s="4"/>
      <c r="I30" s="4">
        <f t="shared" si="1"/>
        <v>19</v>
      </c>
    </row>
    <row r="31" spans="1:10" x14ac:dyDescent="0.25">
      <c r="A31" s="4" t="s">
        <v>1129</v>
      </c>
      <c r="B31" s="31" t="s">
        <v>1130</v>
      </c>
      <c r="G31" s="47">
        <f>+'AD-10'!D18</f>
        <v>0.70169999999999999</v>
      </c>
      <c r="H31" s="4" t="str">
        <f>H26</f>
        <v>Tab AD-10; Line 6</v>
      </c>
      <c r="I31" s="4">
        <f t="shared" si="1"/>
        <v>20</v>
      </c>
    </row>
    <row r="32" spans="1:10" x14ac:dyDescent="0.25">
      <c r="A32" s="4" t="s">
        <v>1131</v>
      </c>
      <c r="B32" s="31" t="s">
        <v>238</v>
      </c>
      <c r="G32" s="47">
        <f>+'Stmt AI'!E25</f>
        <v>0.20710488637345756</v>
      </c>
      <c r="H32" s="4" t="s">
        <v>1871</v>
      </c>
      <c r="I32" s="4">
        <f t="shared" si="1"/>
        <v>21</v>
      </c>
    </row>
    <row r="33" spans="1:9" ht="16.5" thickBot="1" x14ac:dyDescent="0.3">
      <c r="A33" s="4" t="s">
        <v>1132</v>
      </c>
      <c r="B33" s="31" t="s">
        <v>1117</v>
      </c>
      <c r="G33" s="626">
        <f>G31*G32</f>
        <v>0.14532549876825518</v>
      </c>
      <c r="H33" s="4" t="s">
        <v>1597</v>
      </c>
      <c r="I33" s="4">
        <f t="shared" si="1"/>
        <v>22</v>
      </c>
    </row>
    <row r="34" spans="1:9" ht="16.5" thickTop="1" x14ac:dyDescent="0.25">
      <c r="I34" s="31"/>
    </row>
    <row r="35" spans="1:9" ht="18.75" x14ac:dyDescent="0.25">
      <c r="A35" s="1234" t="s">
        <v>1833</v>
      </c>
      <c r="B35" s="31" t="s">
        <v>1781</v>
      </c>
      <c r="I35" s="31"/>
    </row>
  </sheetData>
  <mergeCells count="5">
    <mergeCell ref="B2:H2"/>
    <mergeCell ref="B3:H3"/>
    <mergeCell ref="B5:H5"/>
    <mergeCell ref="B6:H6"/>
    <mergeCell ref="B4:H4"/>
  </mergeCells>
  <printOptions horizontalCentered="1"/>
  <pageMargins left="0.5" right="0.5" top="0.5" bottom="0.5" header="0.25" footer="0.25"/>
  <pageSetup scale="73" orientation="landscape" r:id="rId1"/>
  <headerFooter scaleWithDoc="0">
    <oddFooter>&amp;C&amp;"Times New Roman,Regular"&amp;10&amp;A</oddFooter>
  </headerFooter>
  <customProperties>
    <customPr name="_pios_id" r:id="rId2"/>
  </customPropertie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3B4FB-3E7F-4C13-824D-FFF7F2BF23D9}">
  <sheetPr>
    <pageSetUpPr fitToPage="1"/>
  </sheetPr>
  <dimension ref="A2:Q24"/>
  <sheetViews>
    <sheetView zoomScale="80" zoomScaleNormal="80" workbookViewId="0">
      <selection activeCell="G35" sqref="G35"/>
    </sheetView>
  </sheetViews>
  <sheetFormatPr defaultColWidth="8.5703125" defaultRowHeight="15.75" x14ac:dyDescent="0.25"/>
  <cols>
    <col min="1" max="1" width="5.5703125" style="4" customWidth="1"/>
    <col min="2" max="2" width="50.7109375" style="31" customWidth="1"/>
    <col min="3" max="3" width="16.7109375" style="31" customWidth="1"/>
    <col min="4" max="4" width="1.7109375" style="31" customWidth="1"/>
    <col min="5" max="5" width="16.7109375" style="31" customWidth="1"/>
    <col min="6" max="6" width="1.7109375" style="31" customWidth="1"/>
    <col min="7" max="7" width="16.7109375" style="31" customWidth="1"/>
    <col min="8" max="8" width="1.7109375" style="31" customWidth="1"/>
    <col min="9" max="9" width="16.7109375" style="31" customWidth="1"/>
    <col min="10" max="10" width="1.7109375" style="31" customWidth="1"/>
    <col min="11" max="11" width="16.7109375" style="31" customWidth="1"/>
    <col min="12" max="12" width="1.5703125" style="31" customWidth="1"/>
    <col min="13" max="13" width="27.5703125" style="31" bestFit="1" customWidth="1"/>
    <col min="14" max="14" width="47.5703125" style="31" customWidth="1"/>
    <col min="15" max="15" width="5.42578125" style="4" customWidth="1"/>
    <col min="16" max="16" width="8.5703125" style="31"/>
    <col min="17" max="17" width="22" style="31" bestFit="1" customWidth="1"/>
    <col min="18" max="16384" width="8.5703125" style="31"/>
  </cols>
  <sheetData>
    <row r="2" spans="1:17" x14ac:dyDescent="0.25">
      <c r="B2" s="1316" t="s">
        <v>0</v>
      </c>
      <c r="C2" s="1316"/>
      <c r="D2" s="1316"/>
      <c r="E2" s="1316"/>
      <c r="F2" s="1316"/>
      <c r="G2" s="1316"/>
      <c r="H2" s="1316"/>
      <c r="I2" s="1316"/>
      <c r="J2" s="1316"/>
      <c r="K2" s="1316"/>
      <c r="L2" s="1316"/>
      <c r="M2" s="1316"/>
      <c r="N2" s="1316"/>
    </row>
    <row r="3" spans="1:17" x14ac:dyDescent="0.25">
      <c r="B3" s="1316" t="s">
        <v>1109</v>
      </c>
      <c r="C3" s="1316"/>
      <c r="D3" s="1316"/>
      <c r="E3" s="1316"/>
      <c r="F3" s="1316"/>
      <c r="G3" s="1316"/>
      <c r="H3" s="1316"/>
      <c r="I3" s="1316"/>
      <c r="J3" s="1316"/>
      <c r="K3" s="1316"/>
      <c r="L3" s="1316"/>
      <c r="M3" s="1316"/>
      <c r="N3" s="1316"/>
    </row>
    <row r="4" spans="1:17" x14ac:dyDescent="0.25">
      <c r="B4" s="1316" t="s">
        <v>1110</v>
      </c>
      <c r="C4" s="1316"/>
      <c r="D4" s="1316"/>
      <c r="E4" s="1316"/>
      <c r="F4" s="1316"/>
      <c r="G4" s="1316"/>
      <c r="H4" s="1316"/>
      <c r="I4" s="1316"/>
      <c r="J4" s="1316"/>
      <c r="K4" s="1316"/>
      <c r="L4" s="1316"/>
      <c r="M4" s="1316"/>
      <c r="N4" s="1316"/>
    </row>
    <row r="5" spans="1:17" x14ac:dyDescent="0.25">
      <c r="B5" s="1316" t="str">
        <f>'Misc.-1'!B5</f>
        <v>BASE PERIOD 12 MONTHS ENDING DECEMBER 31, 2025</v>
      </c>
      <c r="C5" s="1316"/>
      <c r="D5" s="1316"/>
      <c r="E5" s="1316"/>
      <c r="F5" s="1316"/>
      <c r="G5" s="1316"/>
      <c r="H5" s="1316"/>
      <c r="I5" s="1316"/>
      <c r="J5" s="1316"/>
      <c r="K5" s="1316"/>
      <c r="L5" s="1316"/>
      <c r="M5" s="1316"/>
      <c r="N5" s="1316"/>
    </row>
    <row r="6" spans="1:17" ht="15.75" customHeight="1" x14ac:dyDescent="0.25">
      <c r="B6" s="1312" t="s">
        <v>4</v>
      </c>
      <c r="C6" s="1312"/>
      <c r="D6" s="1312"/>
      <c r="E6" s="1312"/>
      <c r="F6" s="1312"/>
      <c r="G6" s="1312"/>
      <c r="H6" s="1312"/>
      <c r="I6" s="1312"/>
      <c r="J6" s="1312"/>
      <c r="K6" s="1312"/>
      <c r="L6" s="1312"/>
      <c r="M6" s="1312"/>
      <c r="N6" s="1312"/>
    </row>
    <row r="7" spans="1:17" x14ac:dyDescent="0.25">
      <c r="Q7" s="47"/>
    </row>
    <row r="8" spans="1:17" x14ac:dyDescent="0.25">
      <c r="A8" s="4" t="s">
        <v>5</v>
      </c>
      <c r="B8" s="749"/>
      <c r="C8" s="34" t="s">
        <v>187</v>
      </c>
      <c r="D8" s="749"/>
      <c r="E8" s="34" t="s">
        <v>188</v>
      </c>
      <c r="F8" s="749"/>
      <c r="G8" s="34" t="s">
        <v>189</v>
      </c>
      <c r="I8" s="34" t="s">
        <v>935</v>
      </c>
      <c r="K8" s="34" t="s">
        <v>936</v>
      </c>
      <c r="M8" s="34" t="s">
        <v>1780</v>
      </c>
      <c r="O8" s="4" t="s">
        <v>5</v>
      </c>
    </row>
    <row r="9" spans="1:17" x14ac:dyDescent="0.25">
      <c r="A9" s="4" t="s">
        <v>6</v>
      </c>
      <c r="B9" s="848" t="s">
        <v>311</v>
      </c>
      <c r="C9" s="849">
        <v>45657</v>
      </c>
      <c r="D9" s="848"/>
      <c r="E9" s="849">
        <v>45747</v>
      </c>
      <c r="F9" s="917"/>
      <c r="G9" s="849">
        <v>45838</v>
      </c>
      <c r="H9" s="917"/>
      <c r="I9" s="849">
        <v>45930</v>
      </c>
      <c r="J9" s="917"/>
      <c r="K9" s="849">
        <v>46022</v>
      </c>
      <c r="L9" s="917"/>
      <c r="M9" s="848" t="s">
        <v>213</v>
      </c>
      <c r="N9" s="848" t="s">
        <v>8</v>
      </c>
      <c r="O9" s="4" t="s">
        <v>6</v>
      </c>
    </row>
    <row r="10" spans="1:17" x14ac:dyDescent="0.25">
      <c r="C10" s="4"/>
      <c r="E10" s="4"/>
      <c r="G10" s="4"/>
      <c r="I10" s="4"/>
      <c r="K10" s="4"/>
      <c r="M10" s="4"/>
      <c r="N10" s="4"/>
      <c r="O10" s="31"/>
    </row>
    <row r="11" spans="1:17" x14ac:dyDescent="0.25">
      <c r="A11" s="4">
        <v>1</v>
      </c>
      <c r="B11" s="32" t="s">
        <v>1783</v>
      </c>
      <c r="C11" s="1236">
        <v>-769.99986999999999</v>
      </c>
      <c r="D11" s="1238"/>
      <c r="E11" s="1236">
        <v>-650.5</v>
      </c>
      <c r="F11" s="1238"/>
      <c r="G11" s="1236">
        <v>-750.5</v>
      </c>
      <c r="H11" s="1238"/>
      <c r="I11" s="1236">
        <v>-836.5</v>
      </c>
      <c r="J11" s="1238"/>
      <c r="K11" s="1236">
        <v>-1666.74</v>
      </c>
      <c r="L11" s="1194"/>
      <c r="M11" s="1194">
        <f>(C11+E11+G11+I11+K11)/5</f>
        <v>-934.84797400000002</v>
      </c>
      <c r="N11" s="44" t="s">
        <v>263</v>
      </c>
      <c r="O11" s="4">
        <v>1</v>
      </c>
      <c r="Q11" s="254"/>
    </row>
    <row r="12" spans="1:17" x14ac:dyDescent="0.25">
      <c r="A12" s="4">
        <f>A11+1</f>
        <v>2</v>
      </c>
      <c r="C12" s="1194"/>
      <c r="D12" s="852"/>
      <c r="E12" s="1194"/>
      <c r="F12" s="852"/>
      <c r="G12" s="1194"/>
      <c r="H12" s="852"/>
      <c r="I12" s="1194"/>
      <c r="J12" s="852"/>
      <c r="K12" s="1194"/>
      <c r="L12" s="1194"/>
      <c r="M12" s="1194"/>
      <c r="N12" s="4"/>
      <c r="O12" s="4">
        <f>O11+1</f>
        <v>2</v>
      </c>
    </row>
    <row r="13" spans="1:17" x14ac:dyDescent="0.25">
      <c r="A13" s="4">
        <f t="shared" ref="A13:A21" si="0">A12+1</f>
        <v>3</v>
      </c>
      <c r="B13" s="32" t="s">
        <v>1784</v>
      </c>
      <c r="C13" s="1236">
        <v>-12208.891659999999</v>
      </c>
      <c r="D13" s="1238"/>
      <c r="E13" s="1236">
        <v>-11849.847</v>
      </c>
      <c r="F13" s="1238"/>
      <c r="G13" s="1236">
        <v>-12047.536</v>
      </c>
      <c r="H13" s="1238"/>
      <c r="I13" s="1236">
        <v>-11500.544</v>
      </c>
      <c r="J13" s="1238"/>
      <c r="K13" s="1236">
        <v>-11194.09</v>
      </c>
      <c r="L13" s="1194"/>
      <c r="M13" s="1194">
        <f>(C13+E13+G13+I13+K13)/5</f>
        <v>-11760.181732000001</v>
      </c>
      <c r="N13" s="44" t="s">
        <v>263</v>
      </c>
      <c r="O13" s="4">
        <f t="shared" ref="O13:O21" si="1">O12+1</f>
        <v>3</v>
      </c>
    </row>
    <row r="14" spans="1:17" x14ac:dyDescent="0.25">
      <c r="A14" s="4">
        <f t="shared" si="0"/>
        <v>4</v>
      </c>
      <c r="C14" s="1194"/>
      <c r="D14" s="852"/>
      <c r="E14" s="1194"/>
      <c r="F14" s="852"/>
      <c r="G14" s="1194"/>
      <c r="H14" s="852"/>
      <c r="I14" s="1194"/>
      <c r="J14" s="852"/>
      <c r="K14" s="1194"/>
      <c r="L14" s="1194"/>
      <c r="M14" s="1194"/>
      <c r="N14" s="4"/>
      <c r="O14" s="4">
        <f t="shared" si="1"/>
        <v>4</v>
      </c>
    </row>
    <row r="15" spans="1:17" x14ac:dyDescent="0.25">
      <c r="A15" s="4">
        <f t="shared" si="0"/>
        <v>5</v>
      </c>
      <c r="B15" s="32" t="s">
        <v>1785</v>
      </c>
      <c r="C15" s="1236">
        <v>-29336.893909999999</v>
      </c>
      <c r="D15" s="1238"/>
      <c r="E15" s="1236">
        <v>-28711.673999999999</v>
      </c>
      <c r="F15" s="1238"/>
      <c r="G15" s="1236">
        <v>-28465.423999999999</v>
      </c>
      <c r="H15" s="1238"/>
      <c r="I15" s="1236">
        <v>-28606.348000000002</v>
      </c>
      <c r="J15" s="1238"/>
      <c r="K15" s="1236">
        <v>-16963.715</v>
      </c>
      <c r="L15" s="1194"/>
      <c r="M15" s="1194">
        <f>(C15+E15+G15+I15+K15)/5</f>
        <v>-26416.810982000003</v>
      </c>
      <c r="N15" s="44" t="s">
        <v>263</v>
      </c>
      <c r="O15" s="4">
        <f t="shared" si="1"/>
        <v>5</v>
      </c>
    </row>
    <row r="16" spans="1:17" x14ac:dyDescent="0.25">
      <c r="A16" s="4">
        <f t="shared" si="0"/>
        <v>6</v>
      </c>
      <c r="C16" s="1194"/>
      <c r="D16" s="852"/>
      <c r="E16" s="1194"/>
      <c r="F16" s="852"/>
      <c r="G16" s="1194"/>
      <c r="H16" s="852"/>
      <c r="I16" s="1194"/>
      <c r="J16" s="852"/>
      <c r="K16" s="1194"/>
      <c r="L16" s="1194"/>
      <c r="M16" s="1194"/>
      <c r="N16" s="4"/>
      <c r="O16" s="4">
        <f t="shared" si="1"/>
        <v>6</v>
      </c>
    </row>
    <row r="17" spans="1:15" x14ac:dyDescent="0.25">
      <c r="A17" s="4">
        <f t="shared" si="0"/>
        <v>7</v>
      </c>
      <c r="B17" s="32" t="s">
        <v>1786</v>
      </c>
      <c r="C17" s="1236">
        <v>-35175.273000000001</v>
      </c>
      <c r="D17" s="1238"/>
      <c r="E17" s="1236">
        <v>-42197.114000000001</v>
      </c>
      <c r="F17" s="1238"/>
      <c r="G17" s="1236">
        <v>-42004.37</v>
      </c>
      <c r="H17" s="1238"/>
      <c r="I17" s="1236">
        <v>-41177.188999999998</v>
      </c>
      <c r="J17" s="1238"/>
      <c r="K17" s="1236">
        <v>-35293.925000000003</v>
      </c>
      <c r="L17" s="1194"/>
      <c r="M17" s="1194">
        <f>(C17+E17+G17+I17+K17)/5</f>
        <v>-39169.574199999995</v>
      </c>
      <c r="N17" s="44" t="s">
        <v>263</v>
      </c>
      <c r="O17" s="4">
        <f t="shared" si="1"/>
        <v>7</v>
      </c>
    </row>
    <row r="18" spans="1:15" x14ac:dyDescent="0.25">
      <c r="A18" s="4">
        <f t="shared" si="0"/>
        <v>8</v>
      </c>
      <c r="C18" s="1194"/>
      <c r="D18" s="852"/>
      <c r="E18" s="1194"/>
      <c r="F18" s="852"/>
      <c r="G18" s="1194"/>
      <c r="H18" s="852"/>
      <c r="I18" s="1194"/>
      <c r="J18" s="852"/>
      <c r="K18" s="1194"/>
      <c r="L18" s="1194"/>
      <c r="M18" s="1194"/>
      <c r="N18" s="4"/>
      <c r="O18" s="4">
        <f t="shared" si="1"/>
        <v>8</v>
      </c>
    </row>
    <row r="19" spans="1:15" ht="18.75" x14ac:dyDescent="0.25">
      <c r="A19" s="4" t="s">
        <v>1844</v>
      </c>
      <c r="B19" s="32" t="s">
        <v>1872</v>
      </c>
      <c r="C19" s="1237">
        <v>0</v>
      </c>
      <c r="D19" s="1238"/>
      <c r="E19" s="1237">
        <v>0</v>
      </c>
      <c r="F19" s="1238"/>
      <c r="G19" s="1237">
        <v>0</v>
      </c>
      <c r="H19" s="1238"/>
      <c r="I19" s="1237">
        <v>0</v>
      </c>
      <c r="J19" s="1238"/>
      <c r="K19" s="1237">
        <v>0</v>
      </c>
      <c r="L19" s="1235"/>
      <c r="M19" s="1235">
        <f>(C19+E19+G19+I19+K19)/5</f>
        <v>0</v>
      </c>
      <c r="N19" s="44" t="s">
        <v>263</v>
      </c>
      <c r="O19" s="4">
        <f t="shared" si="1"/>
        <v>9</v>
      </c>
    </row>
    <row r="20" spans="1:15" x14ac:dyDescent="0.25">
      <c r="A20" s="4">
        <v>10</v>
      </c>
      <c r="C20" s="1194"/>
      <c r="D20" s="852"/>
      <c r="E20" s="1194"/>
      <c r="F20" s="852"/>
      <c r="G20" s="1194"/>
      <c r="H20" s="852"/>
      <c r="I20" s="1194"/>
      <c r="J20" s="852"/>
      <c r="K20" s="1194"/>
      <c r="L20" s="1194"/>
      <c r="M20" s="1194"/>
      <c r="N20" s="4"/>
      <c r="O20" s="4">
        <f t="shared" si="1"/>
        <v>10</v>
      </c>
    </row>
    <row r="21" spans="1:15" ht="16.5" thickBot="1" x14ac:dyDescent="0.3">
      <c r="A21" s="4">
        <f t="shared" si="0"/>
        <v>11</v>
      </c>
      <c r="B21" s="32" t="s">
        <v>1778</v>
      </c>
      <c r="C21" s="1145">
        <f>SUM(C11:C19)</f>
        <v>-77491.058439999993</v>
      </c>
      <c r="D21" s="1238"/>
      <c r="E21" s="1145">
        <f>SUM(E11:E19)</f>
        <v>-83409.135000000009</v>
      </c>
      <c r="F21" s="1238"/>
      <c r="G21" s="1145">
        <f>SUM(G11:G19)</f>
        <v>-83267.83</v>
      </c>
      <c r="H21" s="1238"/>
      <c r="I21" s="1145">
        <f>SUM(I11:I19)</f>
        <v>-82120.581000000006</v>
      </c>
      <c r="J21" s="1238"/>
      <c r="K21" s="1145">
        <f>SUM(K11:K19)</f>
        <v>-65118.47</v>
      </c>
      <c r="L21" s="1194"/>
      <c r="M21" s="1145">
        <f>SUM(M11:M19)</f>
        <v>-78281.414887999999</v>
      </c>
      <c r="N21" s="4" t="s">
        <v>1782</v>
      </c>
      <c r="O21" s="4">
        <f t="shared" si="1"/>
        <v>11</v>
      </c>
    </row>
    <row r="22" spans="1:15" ht="16.5" thickTop="1" x14ac:dyDescent="0.25"/>
    <row r="24" spans="1:15" ht="18.75" x14ac:dyDescent="0.25">
      <c r="A24" s="34" t="s">
        <v>1864</v>
      </c>
      <c r="B24" s="31" t="s">
        <v>1781</v>
      </c>
    </row>
  </sheetData>
  <mergeCells count="5">
    <mergeCell ref="B2:N2"/>
    <mergeCell ref="B3:N3"/>
    <mergeCell ref="B4:N4"/>
    <mergeCell ref="B5:N5"/>
    <mergeCell ref="B6:N6"/>
  </mergeCells>
  <printOptions horizontalCentered="1"/>
  <pageMargins left="0.5" right="0.5" top="0.5" bottom="0.5" header="0.25" footer="0.25"/>
  <pageSetup scale="56" orientation="landscape" r:id="rId1"/>
  <headerFooter scaleWithDoc="0">
    <oddFooter>&amp;C&amp;"Times New Roman,Regular"&amp;10&amp;A</oddFooter>
  </headerFooter>
  <customProperties>
    <customPr name="_pios_id" r:id="rId2"/>
  </customPropertie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89D69-8FEE-4350-88D7-5F47547BD69E}">
  <sheetPr>
    <pageSetUpPr fitToPage="1"/>
  </sheetPr>
  <dimension ref="A2:I17"/>
  <sheetViews>
    <sheetView zoomScale="80" zoomScaleNormal="80" workbookViewId="0">
      <selection activeCell="E13" sqref="E13"/>
    </sheetView>
  </sheetViews>
  <sheetFormatPr defaultColWidth="8.7109375" defaultRowHeight="15.75" x14ac:dyDescent="0.25"/>
  <cols>
    <col min="1" max="1" width="5.28515625" style="4" customWidth="1"/>
    <col min="2" max="2" width="67.5703125" style="31" customWidth="1"/>
    <col min="3" max="3" width="17.85546875" style="31" bestFit="1" customWidth="1"/>
    <col min="4" max="4" width="2.7109375" style="31" bestFit="1" customWidth="1"/>
    <col min="5" max="5" width="16.7109375" style="31" customWidth="1"/>
    <col min="6" max="6" width="1.5703125" style="31" customWidth="1"/>
    <col min="7" max="7" width="18.42578125" style="31" customWidth="1"/>
    <col min="8" max="8" width="40.28515625" style="31" customWidth="1"/>
    <col min="9" max="9" width="5.28515625" style="4" customWidth="1"/>
    <col min="10" max="11" width="8.7109375" style="31"/>
    <col min="12" max="12" width="8.7109375" style="31" customWidth="1"/>
    <col min="13" max="13" width="8.7109375" style="31"/>
    <col min="14" max="15" width="8.7109375" style="31" customWidth="1"/>
    <col min="16" max="16384" width="8.7109375" style="31"/>
  </cols>
  <sheetData>
    <row r="2" spans="1:9" x14ac:dyDescent="0.25">
      <c r="B2" s="1324" t="s">
        <v>0</v>
      </c>
      <c r="C2" s="1324"/>
      <c r="D2" s="1324"/>
      <c r="E2" s="1324"/>
      <c r="F2" s="1324"/>
      <c r="G2" s="1324"/>
      <c r="H2" s="1324"/>
    </row>
    <row r="3" spans="1:9" x14ac:dyDescent="0.25">
      <c r="B3" s="1324" t="s">
        <v>1109</v>
      </c>
      <c r="C3" s="1324"/>
      <c r="D3" s="1324"/>
      <c r="E3" s="1324"/>
      <c r="F3" s="1324"/>
      <c r="G3" s="1324"/>
      <c r="H3" s="1324"/>
    </row>
    <row r="4" spans="1:9" x14ac:dyDescent="0.25">
      <c r="B4" s="1324" t="s">
        <v>1787</v>
      </c>
      <c r="C4" s="1324"/>
      <c r="D4" s="1324"/>
      <c r="E4" s="1324"/>
      <c r="F4" s="1324"/>
      <c r="G4" s="1324"/>
      <c r="H4" s="1324"/>
    </row>
    <row r="5" spans="1:9" x14ac:dyDescent="0.25">
      <c r="B5" s="1324" t="str">
        <f>'AR-1'!B5</f>
        <v>BASE PERIOD 12 MONTHS ENDING DECEMBER 31, 2025</v>
      </c>
      <c r="C5" s="1324"/>
      <c r="D5" s="1324"/>
      <c r="E5" s="1324"/>
      <c r="F5" s="1324"/>
      <c r="G5" s="1324"/>
      <c r="H5" s="1324"/>
    </row>
    <row r="6" spans="1:9" ht="15.75" customHeight="1" x14ac:dyDescent="0.25">
      <c r="B6" s="1343" t="s">
        <v>4</v>
      </c>
      <c r="C6" s="1343"/>
      <c r="D6" s="1343"/>
      <c r="E6" s="1343"/>
      <c r="F6" s="1343"/>
      <c r="G6" s="1343"/>
      <c r="H6" s="1343"/>
    </row>
    <row r="8" spans="1:9" x14ac:dyDescent="0.25">
      <c r="A8" s="4" t="s">
        <v>5</v>
      </c>
      <c r="C8" s="34" t="s">
        <v>187</v>
      </c>
      <c r="D8" s="34"/>
      <c r="E8" s="34" t="s">
        <v>188</v>
      </c>
      <c r="G8" s="34" t="s">
        <v>211</v>
      </c>
      <c r="H8" s="34"/>
      <c r="I8" s="4" t="s">
        <v>5</v>
      </c>
    </row>
    <row r="9" spans="1:9" x14ac:dyDescent="0.25">
      <c r="A9" s="4" t="s">
        <v>6</v>
      </c>
      <c r="B9" s="848" t="s">
        <v>311</v>
      </c>
      <c r="C9" s="1240">
        <f>'Stmt AD'!E9</f>
        <v>45657</v>
      </c>
      <c r="D9" s="1241"/>
      <c r="E9" s="1240">
        <f>'Stmt AD'!G9</f>
        <v>46022</v>
      </c>
      <c r="F9" s="1242"/>
      <c r="G9" s="848" t="s">
        <v>213</v>
      </c>
      <c r="H9" s="848" t="s">
        <v>8</v>
      </c>
      <c r="I9" s="4" t="s">
        <v>6</v>
      </c>
    </row>
    <row r="11" spans="1:9" x14ac:dyDescent="0.25">
      <c r="A11" s="4">
        <v>1</v>
      </c>
      <c r="B11" s="32" t="s">
        <v>1788</v>
      </c>
      <c r="C11" s="82">
        <v>0</v>
      </c>
      <c r="D11" s="6"/>
      <c r="E11" s="82">
        <v>0</v>
      </c>
      <c r="F11" s="35"/>
      <c r="G11" s="35">
        <f>(C11+E11)/2</f>
        <v>0</v>
      </c>
      <c r="H11" s="44" t="s">
        <v>263</v>
      </c>
      <c r="I11" s="4">
        <f>A11</f>
        <v>1</v>
      </c>
    </row>
    <row r="12" spans="1:9" x14ac:dyDescent="0.25">
      <c r="A12" s="4">
        <f>A11+1</f>
        <v>2</v>
      </c>
      <c r="C12" s="35"/>
      <c r="D12" s="6"/>
      <c r="E12" s="35"/>
      <c r="F12" s="35"/>
      <c r="G12" s="35"/>
      <c r="H12" s="44"/>
      <c r="I12" s="4">
        <f>I11+1</f>
        <v>2</v>
      </c>
    </row>
    <row r="13" spans="1:9" x14ac:dyDescent="0.25">
      <c r="A13" s="4">
        <f t="shared" ref="A13:A15" si="0">A12+1</f>
        <v>3</v>
      </c>
      <c r="B13" s="32" t="s">
        <v>1789</v>
      </c>
      <c r="C13" s="678">
        <v>0</v>
      </c>
      <c r="D13" s="6"/>
      <c r="E13" s="678">
        <v>0</v>
      </c>
      <c r="F13" s="35"/>
      <c r="G13" s="914">
        <f>(C13+E13)/2</f>
        <v>0</v>
      </c>
      <c r="H13" s="44" t="s">
        <v>263</v>
      </c>
      <c r="I13" s="4">
        <f t="shared" ref="I13:I15" si="1">I12+1</f>
        <v>3</v>
      </c>
    </row>
    <row r="14" spans="1:9" x14ac:dyDescent="0.25">
      <c r="A14" s="4">
        <f t="shared" si="0"/>
        <v>4</v>
      </c>
      <c r="C14" s="35"/>
      <c r="D14" s="6"/>
      <c r="E14" s="35"/>
      <c r="F14" s="35"/>
      <c r="G14" s="35"/>
      <c r="H14" s="44"/>
      <c r="I14" s="4">
        <f>I13+1</f>
        <v>4</v>
      </c>
    </row>
    <row r="15" spans="1:9" ht="19.5" thickBot="1" x14ac:dyDescent="0.3">
      <c r="A15" s="4">
        <f t="shared" si="0"/>
        <v>5</v>
      </c>
      <c r="B15" s="31" t="s">
        <v>1790</v>
      </c>
      <c r="C15" s="37">
        <f>SUM(C11:C13)</f>
        <v>0</v>
      </c>
      <c r="D15" s="1243"/>
      <c r="E15" s="37">
        <f>SUM(E11:E13)</f>
        <v>0</v>
      </c>
      <c r="F15" s="35"/>
      <c r="G15" s="37">
        <f>SUM(G11:G13)</f>
        <v>0</v>
      </c>
      <c r="H15" s="4" t="s">
        <v>458</v>
      </c>
      <c r="I15" s="4">
        <f t="shared" si="1"/>
        <v>5</v>
      </c>
    </row>
    <row r="16" spans="1:9" ht="16.5" thickTop="1" x14ac:dyDescent="0.25">
      <c r="C16" s="11"/>
      <c r="D16" s="11"/>
      <c r="E16" s="11"/>
      <c r="F16" s="11"/>
      <c r="G16" s="11"/>
      <c r="H16" s="11"/>
    </row>
    <row r="17" spans="3:8" x14ac:dyDescent="0.25">
      <c r="C17" s="11"/>
      <c r="D17" s="11"/>
      <c r="E17" s="11"/>
      <c r="F17" s="11"/>
      <c r="G17" s="11"/>
      <c r="H17" s="11"/>
    </row>
  </sheetData>
  <mergeCells count="5">
    <mergeCell ref="B2:H2"/>
    <mergeCell ref="B3:H3"/>
    <mergeCell ref="B4:H4"/>
    <mergeCell ref="B5:H5"/>
    <mergeCell ref="B6:H6"/>
  </mergeCells>
  <pageMargins left="0.7" right="0.7" top="0.75" bottom="0.75" header="0.3" footer="0.3"/>
  <pageSetup scale="70" fitToHeight="0" orientation="landscape" r:id="rId1"/>
  <headerFooter scaleWithDoc="0">
    <oddFooter>&amp;C&amp;A</oddFooter>
  </headerFooter>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J47"/>
  <sheetViews>
    <sheetView topLeftCell="A7" zoomScale="80" zoomScaleNormal="80" workbookViewId="0">
      <selection activeCell="B37" sqref="B37"/>
    </sheetView>
  </sheetViews>
  <sheetFormatPr defaultColWidth="9.28515625" defaultRowHeight="15.75" x14ac:dyDescent="0.25"/>
  <cols>
    <col min="1" max="1" width="5.28515625" style="217" customWidth="1"/>
    <col min="2" max="2" width="35.28515625" style="1" customWidth="1"/>
    <col min="3" max="3" width="18.5703125" style="86" customWidth="1"/>
    <col min="4" max="4" width="4.28515625" style="86" customWidth="1"/>
    <col min="5" max="5" width="26" style="1" customWidth="1"/>
    <col min="6" max="6" width="18.5703125" style="1" customWidth="1"/>
    <col min="7" max="7" width="4.28515625" style="1" customWidth="1"/>
    <col min="8" max="8" width="62.5703125" style="1" customWidth="1"/>
    <col min="9" max="9" width="5.28515625" style="217" customWidth="1"/>
    <col min="10" max="10" width="24" style="1" customWidth="1"/>
    <col min="11" max="11" width="11" style="1" customWidth="1"/>
    <col min="12" max="12" width="7.28515625" style="1" customWidth="1"/>
    <col min="13" max="13" width="9.28515625" style="1" customWidth="1"/>
    <col min="14" max="14" width="14" style="1" customWidth="1"/>
    <col min="15" max="15" width="13.42578125" style="1" customWidth="1"/>
    <col min="16" max="16384" width="9.28515625" style="1"/>
  </cols>
  <sheetData>
    <row r="2" spans="1:10" x14ac:dyDescent="0.25">
      <c r="B2" s="1316" t="s">
        <v>0</v>
      </c>
      <c r="C2" s="1316"/>
      <c r="D2" s="1316"/>
      <c r="E2" s="1316"/>
      <c r="F2" s="1316"/>
      <c r="G2" s="1316"/>
      <c r="H2" s="1316"/>
    </row>
    <row r="3" spans="1:10" x14ac:dyDescent="0.25">
      <c r="B3" s="1316" t="s">
        <v>255</v>
      </c>
      <c r="C3" s="1316"/>
      <c r="D3" s="1316"/>
      <c r="E3" s="1316"/>
      <c r="F3" s="1316"/>
      <c r="G3" s="1316"/>
      <c r="H3" s="1316"/>
    </row>
    <row r="4" spans="1:10" x14ac:dyDescent="0.25">
      <c r="B4" s="1316" t="s">
        <v>256</v>
      </c>
      <c r="C4" s="1316"/>
      <c r="D4" s="1316"/>
      <c r="E4" s="1316"/>
      <c r="F4" s="1316"/>
      <c r="G4" s="1316"/>
      <c r="H4" s="1316"/>
    </row>
    <row r="5" spans="1:10" x14ac:dyDescent="0.25">
      <c r="B5" s="1316" t="str">
        <f>'AD-1'!B5</f>
        <v>BASE PERIOD / TRUE UP PERIOD - 12/31/2025 PER BOOK</v>
      </c>
      <c r="C5" s="1316"/>
      <c r="D5" s="1316"/>
      <c r="E5" s="1316"/>
      <c r="F5" s="1316"/>
      <c r="G5" s="1316"/>
      <c r="H5" s="1316"/>
    </row>
    <row r="6" spans="1:10" x14ac:dyDescent="0.25">
      <c r="B6" s="1312" t="s">
        <v>4</v>
      </c>
      <c r="C6" s="1312"/>
      <c r="D6" s="1312"/>
      <c r="E6" s="1312"/>
      <c r="F6" s="1312"/>
      <c r="G6" s="1312"/>
      <c r="H6" s="1312"/>
    </row>
    <row r="7" spans="1:10" x14ac:dyDescent="0.25">
      <c r="B7" s="266"/>
      <c r="C7" s="267"/>
      <c r="D7" s="267"/>
      <c r="E7" s="266"/>
      <c r="F7" s="266"/>
      <c r="G7" s="266"/>
      <c r="H7" s="266"/>
    </row>
    <row r="8" spans="1:10" x14ac:dyDescent="0.25">
      <c r="B8" s="1316" t="s">
        <v>287</v>
      </c>
      <c r="C8" s="1316"/>
      <c r="D8" s="1316"/>
      <c r="E8" s="1316"/>
      <c r="F8" s="1316"/>
      <c r="G8" s="1316"/>
      <c r="H8" s="1316"/>
    </row>
    <row r="10" spans="1:10" x14ac:dyDescent="0.25">
      <c r="B10" s="924"/>
      <c r="C10" s="1077" t="s">
        <v>180</v>
      </c>
      <c r="D10" s="268"/>
      <c r="E10" s="925"/>
      <c r="F10" s="1077"/>
      <c r="G10" s="268"/>
      <c r="H10" s="925"/>
    </row>
    <row r="11" spans="1:10" x14ac:dyDescent="0.25">
      <c r="A11" s="4"/>
      <c r="B11" s="269"/>
      <c r="C11" s="217" t="s">
        <v>288</v>
      </c>
      <c r="D11" s="273"/>
      <c r="E11" s="269"/>
      <c r="F11" s="217" t="s">
        <v>288</v>
      </c>
      <c r="G11" s="273"/>
      <c r="H11" s="269"/>
    </row>
    <row r="12" spans="1:10" x14ac:dyDescent="0.25">
      <c r="A12" s="4" t="s">
        <v>5</v>
      </c>
      <c r="B12" s="272"/>
      <c r="C12" s="217" t="s">
        <v>259</v>
      </c>
      <c r="D12" s="273"/>
      <c r="E12" s="269"/>
      <c r="F12" s="217" t="s">
        <v>259</v>
      </c>
      <c r="G12" s="273"/>
      <c r="H12" s="269"/>
      <c r="I12" s="4" t="s">
        <v>5</v>
      </c>
    </row>
    <row r="13" spans="1:10" ht="18.75" x14ac:dyDescent="0.25">
      <c r="A13" s="4" t="s">
        <v>6</v>
      </c>
      <c r="B13" s="274" t="s">
        <v>260</v>
      </c>
      <c r="C13" s="927" t="s">
        <v>2081</v>
      </c>
      <c r="D13" s="275"/>
      <c r="E13" s="274" t="s">
        <v>8</v>
      </c>
      <c r="F13" s="927" t="s">
        <v>2084</v>
      </c>
      <c r="G13" s="275"/>
      <c r="H13" s="274" t="s">
        <v>8</v>
      </c>
      <c r="I13" s="4" t="s">
        <v>6</v>
      </c>
    </row>
    <row r="14" spans="1:10" x14ac:dyDescent="0.25">
      <c r="A14" s="4">
        <v>1</v>
      </c>
      <c r="B14" s="928" t="str">
        <f>'AD-1'!B14</f>
        <v>Dec-24</v>
      </c>
      <c r="C14" s="35">
        <v>625992.21535000019</v>
      </c>
      <c r="D14" s="58"/>
      <c r="E14" s="929" t="s">
        <v>263</v>
      </c>
      <c r="F14" s="35">
        <v>584174.15165000025</v>
      </c>
      <c r="G14" s="58"/>
      <c r="H14" s="929" t="s">
        <v>264</v>
      </c>
      <c r="I14" s="4">
        <f>A14</f>
        <v>1</v>
      </c>
      <c r="J14" s="276"/>
    </row>
    <row r="15" spans="1:10" x14ac:dyDescent="0.25">
      <c r="A15" s="4">
        <f>A14+1</f>
        <v>2</v>
      </c>
      <c r="B15" s="928" t="str">
        <f>'AD-1'!B15</f>
        <v>Jan-25</v>
      </c>
      <c r="C15" s="6">
        <v>626210.60103000014</v>
      </c>
      <c r="D15" s="52"/>
      <c r="E15" s="930"/>
      <c r="F15" s="6">
        <v>584392.5373300002</v>
      </c>
      <c r="G15" s="52"/>
      <c r="H15" s="930"/>
      <c r="I15" s="4">
        <f>I14+1</f>
        <v>2</v>
      </c>
    </row>
    <row r="16" spans="1:10" x14ac:dyDescent="0.25">
      <c r="A16" s="4">
        <f t="shared" ref="A16:A32" si="0">A15+1</f>
        <v>3</v>
      </c>
      <c r="B16" s="931" t="s">
        <v>265</v>
      </c>
      <c r="C16" s="6">
        <v>626462.88268000016</v>
      </c>
      <c r="D16" s="52"/>
      <c r="E16" s="930"/>
      <c r="F16" s="6">
        <v>585243.26674000022</v>
      </c>
      <c r="G16" s="52"/>
      <c r="H16" s="930"/>
      <c r="I16" s="4">
        <f t="shared" ref="I16:I26" si="1">I15+1</f>
        <v>3</v>
      </c>
    </row>
    <row r="17" spans="1:10" x14ac:dyDescent="0.25">
      <c r="A17" s="4">
        <f t="shared" si="0"/>
        <v>4</v>
      </c>
      <c r="B17" s="931" t="s">
        <v>266</v>
      </c>
      <c r="C17" s="6">
        <v>626480.64502000005</v>
      </c>
      <c r="D17" s="52"/>
      <c r="E17" s="930"/>
      <c r="F17" s="6">
        <v>623694.16374000022</v>
      </c>
      <c r="G17" s="52"/>
      <c r="H17" s="930"/>
      <c r="I17" s="4">
        <f t="shared" si="1"/>
        <v>4</v>
      </c>
    </row>
    <row r="18" spans="1:10" x14ac:dyDescent="0.25">
      <c r="A18" s="4">
        <f t="shared" si="0"/>
        <v>5</v>
      </c>
      <c r="B18" s="931" t="s">
        <v>267</v>
      </c>
      <c r="C18" s="6">
        <v>629752.26980999997</v>
      </c>
      <c r="D18" s="52"/>
      <c r="E18" s="930"/>
      <c r="F18" s="6">
        <v>626965.78853000014</v>
      </c>
      <c r="G18" s="52"/>
      <c r="H18" s="930"/>
      <c r="I18" s="4">
        <f t="shared" si="1"/>
        <v>5</v>
      </c>
    </row>
    <row r="19" spans="1:10" x14ac:dyDescent="0.25">
      <c r="A19" s="4">
        <f t="shared" si="0"/>
        <v>6</v>
      </c>
      <c r="B19" s="931" t="s">
        <v>268</v>
      </c>
      <c r="C19" s="6">
        <v>633127.48439999996</v>
      </c>
      <c r="D19" s="52"/>
      <c r="E19" s="930"/>
      <c r="F19" s="6">
        <v>630341.00312000012</v>
      </c>
      <c r="G19" s="52"/>
      <c r="H19" s="930"/>
      <c r="I19" s="4">
        <f t="shared" si="1"/>
        <v>6</v>
      </c>
    </row>
    <row r="20" spans="1:10" x14ac:dyDescent="0.25">
      <c r="A20" s="4">
        <f>A19+1</f>
        <v>7</v>
      </c>
      <c r="B20" s="931" t="s">
        <v>269</v>
      </c>
      <c r="C20" s="6">
        <v>633617.83773999999</v>
      </c>
      <c r="D20" s="52"/>
      <c r="E20" s="930"/>
      <c r="F20" s="6">
        <v>630831.35646000016</v>
      </c>
      <c r="G20" s="52"/>
      <c r="H20" s="930"/>
      <c r="I20" s="4">
        <f>I19+1</f>
        <v>7</v>
      </c>
    </row>
    <row r="21" spans="1:10" x14ac:dyDescent="0.25">
      <c r="A21" s="4">
        <f t="shared" si="0"/>
        <v>8</v>
      </c>
      <c r="B21" s="931" t="s">
        <v>270</v>
      </c>
      <c r="C21" s="6">
        <v>634171.14549999987</v>
      </c>
      <c r="D21" s="52"/>
      <c r="E21" s="930"/>
      <c r="F21" s="6">
        <v>631384.66422000004</v>
      </c>
      <c r="G21" s="52"/>
      <c r="H21" s="930"/>
      <c r="I21" s="4">
        <f t="shared" si="1"/>
        <v>8</v>
      </c>
    </row>
    <row r="22" spans="1:10" x14ac:dyDescent="0.25">
      <c r="A22" s="4">
        <f t="shared" si="0"/>
        <v>9</v>
      </c>
      <c r="B22" s="931" t="s">
        <v>271</v>
      </c>
      <c r="C22" s="6">
        <v>634349.17737000005</v>
      </c>
      <c r="D22" s="52"/>
      <c r="E22" s="930"/>
      <c r="F22" s="6">
        <v>631562.69609000022</v>
      </c>
      <c r="G22" s="52"/>
      <c r="H22" s="930"/>
      <c r="I22" s="4">
        <f t="shared" si="1"/>
        <v>9</v>
      </c>
    </row>
    <row r="23" spans="1:10" x14ac:dyDescent="0.25">
      <c r="A23" s="4">
        <f t="shared" si="0"/>
        <v>10</v>
      </c>
      <c r="B23" s="931" t="s">
        <v>272</v>
      </c>
      <c r="C23" s="6">
        <v>634536.36501999968</v>
      </c>
      <c r="D23" s="52"/>
      <c r="E23" s="930"/>
      <c r="F23" s="6">
        <v>631749.88373999984</v>
      </c>
      <c r="G23" s="52"/>
      <c r="H23" s="930"/>
      <c r="I23" s="4">
        <f t="shared" si="1"/>
        <v>10</v>
      </c>
    </row>
    <row r="24" spans="1:10" x14ac:dyDescent="0.25">
      <c r="A24" s="4">
        <f t="shared" si="0"/>
        <v>11</v>
      </c>
      <c r="B24" s="931" t="s">
        <v>273</v>
      </c>
      <c r="C24" s="6">
        <v>634598.69329999993</v>
      </c>
      <c r="D24" s="52"/>
      <c r="E24" s="930"/>
      <c r="F24" s="6">
        <v>631812.21202000009</v>
      </c>
      <c r="G24" s="52"/>
      <c r="H24" s="930"/>
      <c r="I24" s="4">
        <f t="shared" si="1"/>
        <v>11</v>
      </c>
    </row>
    <row r="25" spans="1:10" x14ac:dyDescent="0.25">
      <c r="A25" s="4">
        <f t="shared" si="0"/>
        <v>12</v>
      </c>
      <c r="B25" s="931" t="s">
        <v>274</v>
      </c>
      <c r="C25" s="6">
        <v>635024.46032999991</v>
      </c>
      <c r="D25" s="52"/>
      <c r="E25" s="930"/>
      <c r="F25" s="6">
        <v>632237.97905000008</v>
      </c>
      <c r="G25" s="52"/>
      <c r="H25" s="930"/>
      <c r="I25" s="4">
        <f t="shared" si="1"/>
        <v>12</v>
      </c>
    </row>
    <row r="26" spans="1:10" x14ac:dyDescent="0.25">
      <c r="A26" s="4">
        <f t="shared" si="0"/>
        <v>13</v>
      </c>
      <c r="B26" s="629" t="str">
        <f>'AD-1'!B26</f>
        <v>Dec-25</v>
      </c>
      <c r="C26" s="6">
        <v>636417.56411000015</v>
      </c>
      <c r="D26" s="53"/>
      <c r="E26" s="283" t="s">
        <v>263</v>
      </c>
      <c r="F26" s="898">
        <v>633631.08283000032</v>
      </c>
      <c r="G26" s="53"/>
      <c r="H26" s="929" t="s">
        <v>275</v>
      </c>
      <c r="I26" s="4">
        <f t="shared" si="1"/>
        <v>13</v>
      </c>
      <c r="J26" s="276"/>
    </row>
    <row r="27" spans="1:10" x14ac:dyDescent="0.25">
      <c r="A27" s="4">
        <f>A26+1</f>
        <v>14</v>
      </c>
      <c r="B27" s="277"/>
      <c r="C27" s="1078"/>
      <c r="D27" s="60"/>
      <c r="E27" s="277"/>
      <c r="F27" s="86"/>
      <c r="G27" s="60"/>
      <c r="H27" s="924"/>
      <c r="I27" s="4">
        <f>I26+1</f>
        <v>14</v>
      </c>
    </row>
    <row r="28" spans="1:10" x14ac:dyDescent="0.25">
      <c r="A28" s="4">
        <f t="shared" si="0"/>
        <v>15</v>
      </c>
      <c r="B28" s="277" t="s">
        <v>276</v>
      </c>
      <c r="C28" s="43">
        <f>SUM(C14:C26)</f>
        <v>8210741.3416599985</v>
      </c>
      <c r="D28" s="55"/>
      <c r="E28" s="932" t="s">
        <v>277</v>
      </c>
      <c r="F28" s="43">
        <f>SUM(F14:F26)</f>
        <v>8058020.7855200022</v>
      </c>
      <c r="G28" s="55"/>
      <c r="H28" s="932" t="s">
        <v>277</v>
      </c>
      <c r="I28" s="4">
        <f t="shared" ref="I28:I32" si="2">I27+1</f>
        <v>15</v>
      </c>
    </row>
    <row r="29" spans="1:10" x14ac:dyDescent="0.25">
      <c r="A29" s="4">
        <f t="shared" si="0"/>
        <v>16</v>
      </c>
      <c r="B29" s="116"/>
      <c r="C29" s="1079"/>
      <c r="D29" s="56"/>
      <c r="E29" s="284"/>
      <c r="F29" s="1079"/>
      <c r="G29" s="56"/>
      <c r="H29" s="284"/>
      <c r="I29" s="4">
        <f t="shared" si="2"/>
        <v>16</v>
      </c>
    </row>
    <row r="30" spans="1:10" x14ac:dyDescent="0.25">
      <c r="A30" s="4">
        <f t="shared" si="0"/>
        <v>17</v>
      </c>
      <c r="B30" s="277"/>
      <c r="C30" s="43"/>
      <c r="D30" s="55"/>
      <c r="E30" s="233"/>
      <c r="F30" s="43"/>
      <c r="G30" s="55"/>
      <c r="H30" s="233"/>
      <c r="I30" s="4">
        <f t="shared" si="2"/>
        <v>17</v>
      </c>
    </row>
    <row r="31" spans="1:10" x14ac:dyDescent="0.25">
      <c r="A31" s="4">
        <f t="shared" si="0"/>
        <v>18</v>
      </c>
      <c r="B31" s="277" t="s">
        <v>278</v>
      </c>
      <c r="C31" s="43">
        <f>C28/13</f>
        <v>631595.48781999992</v>
      </c>
      <c r="D31" s="55"/>
      <c r="E31" s="932" t="s">
        <v>279</v>
      </c>
      <c r="F31" s="43">
        <f>F28/13</f>
        <v>619847.75273230788</v>
      </c>
      <c r="G31" s="1086" t="s">
        <v>2062</v>
      </c>
      <c r="H31" s="929" t="s">
        <v>280</v>
      </c>
      <c r="I31" s="4">
        <f t="shared" si="2"/>
        <v>18</v>
      </c>
      <c r="J31" s="276"/>
    </row>
    <row r="32" spans="1:10" x14ac:dyDescent="0.25">
      <c r="A32" s="4">
        <f t="shared" si="0"/>
        <v>19</v>
      </c>
      <c r="B32" s="116"/>
      <c r="C32" s="1039"/>
      <c r="D32" s="61"/>
      <c r="E32" s="116"/>
      <c r="F32" s="1039"/>
      <c r="G32" s="61"/>
      <c r="H32" s="116"/>
      <c r="I32" s="4">
        <f t="shared" si="2"/>
        <v>19</v>
      </c>
    </row>
    <row r="33" spans="1:9" x14ac:dyDescent="0.25">
      <c r="B33" s="31"/>
      <c r="C33" s="6"/>
      <c r="D33" s="6"/>
      <c r="E33" s="31"/>
      <c r="F33" s="6"/>
      <c r="G33" s="6"/>
      <c r="H33" s="31"/>
    </row>
    <row r="34" spans="1:9" x14ac:dyDescent="0.25">
      <c r="B34" s="31"/>
      <c r="C34" s="6"/>
      <c r="D34" s="6"/>
      <c r="E34" s="31"/>
      <c r="F34" s="6"/>
      <c r="G34" s="6"/>
      <c r="H34" s="31"/>
    </row>
    <row r="35" spans="1:9" x14ac:dyDescent="0.25">
      <c r="A35" s="1086" t="s">
        <v>2062</v>
      </c>
      <c r="B35" s="1" t="str">
        <f>'Stmt AD'!B48</f>
        <v xml:space="preserve">Items in BOLD do not tie to the TO6 Cycle 2 included in the Offer of Settlement filing per ER25-270-002 and/or the 2025 FERC Form 1 filed on April 17, 2026 due to AFUDC adjustments made in </v>
      </c>
      <c r="C35" s="6"/>
      <c r="D35" s="6"/>
      <c r="E35" s="31"/>
      <c r="F35" s="6"/>
      <c r="G35" s="6"/>
      <c r="H35" s="31"/>
    </row>
    <row r="36" spans="1:9" x14ac:dyDescent="0.25">
      <c r="B36" s="1" t="str">
        <f>'Stmt AD'!B49</f>
        <v>response to settlement negotiations and other adjustments from the Transmission Project Review process.</v>
      </c>
      <c r="C36" s="6"/>
      <c r="D36" s="6"/>
      <c r="E36" s="31"/>
      <c r="F36" s="6"/>
      <c r="G36" s="6"/>
      <c r="H36" s="31"/>
    </row>
    <row r="37" spans="1:9" ht="18.75" x14ac:dyDescent="0.25">
      <c r="A37" s="265">
        <v>1</v>
      </c>
      <c r="B37" s="31" t="s">
        <v>2085</v>
      </c>
      <c r="C37" s="6"/>
      <c r="D37" s="6"/>
      <c r="E37" s="31"/>
      <c r="F37" s="6"/>
      <c r="G37" s="6"/>
      <c r="H37" s="31"/>
    </row>
    <row r="38" spans="1:9" ht="18.75" x14ac:dyDescent="0.25">
      <c r="A38" s="265">
        <v>2</v>
      </c>
      <c r="B38" s="31" t="s">
        <v>281</v>
      </c>
      <c r="C38" s="6"/>
      <c r="D38" s="6"/>
      <c r="E38" s="31"/>
      <c r="F38" s="6"/>
      <c r="G38" s="6"/>
      <c r="H38" s="31"/>
    </row>
    <row r="39" spans="1:9" x14ac:dyDescent="0.25">
      <c r="B39" s="31" t="s">
        <v>282</v>
      </c>
      <c r="C39" s="6"/>
      <c r="D39" s="6"/>
      <c r="E39" s="31"/>
      <c r="F39" s="6"/>
      <c r="G39" s="6"/>
      <c r="H39" s="31"/>
    </row>
    <row r="40" spans="1:9" x14ac:dyDescent="0.25">
      <c r="A40" s="1"/>
      <c r="C40" s="6"/>
      <c r="D40" s="6"/>
      <c r="E40" s="31"/>
      <c r="F40" s="6"/>
      <c r="G40" s="6"/>
      <c r="H40" s="31"/>
    </row>
    <row r="41" spans="1:9" x14ac:dyDescent="0.25">
      <c r="C41" s="6"/>
      <c r="D41" s="6"/>
      <c r="E41" s="31"/>
      <c r="F41" s="6"/>
      <c r="G41" s="6"/>
      <c r="H41" s="31"/>
    </row>
    <row r="42" spans="1:9" x14ac:dyDescent="0.25">
      <c r="C42" s="285"/>
      <c r="D42" s="285"/>
      <c r="E42" s="285"/>
      <c r="F42" s="285"/>
      <c r="G42" s="285"/>
      <c r="H42" s="285"/>
      <c r="I42" s="580"/>
    </row>
    <row r="43" spans="1:9" x14ac:dyDescent="0.25">
      <c r="F43" s="86"/>
      <c r="G43" s="86"/>
    </row>
    <row r="44" spans="1:9" x14ac:dyDescent="0.25">
      <c r="F44" s="86"/>
      <c r="G44" s="86"/>
    </row>
    <row r="45" spans="1:9" x14ac:dyDescent="0.25">
      <c r="F45" s="86"/>
      <c r="G45" s="86"/>
    </row>
    <row r="46" spans="1:9" x14ac:dyDescent="0.25">
      <c r="F46" s="86"/>
      <c r="G46" s="86"/>
    </row>
    <row r="47" spans="1:9" x14ac:dyDescent="0.25">
      <c r="F47" s="86"/>
      <c r="G47" s="86"/>
    </row>
  </sheetData>
  <mergeCells count="6">
    <mergeCell ref="B8:H8"/>
    <mergeCell ref="B2:H2"/>
    <mergeCell ref="B3:H3"/>
    <mergeCell ref="B4:H4"/>
    <mergeCell ref="B5:H5"/>
    <mergeCell ref="B6:H6"/>
  </mergeCells>
  <printOptions horizontalCentered="1"/>
  <pageMargins left="0.5" right="0.5" top="0.5" bottom="0.5" header="0.25" footer="0.25"/>
  <pageSetup scale="62" orientation="landscape" r:id="rId1"/>
  <headerFooter scaleWithDoc="0">
    <oddFooter>&amp;C&amp;"Times New Roman,Regular"&amp;10&amp;A</oddFooter>
  </headerFooter>
  <customProperties>
    <customPr name="_pios_id" r:id="rId2"/>
  </customPropertie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D425D-269D-4608-9419-BA504594D7D0}">
  <sheetPr>
    <pageSetUpPr fitToPage="1"/>
  </sheetPr>
  <dimension ref="A1:Q68"/>
  <sheetViews>
    <sheetView zoomScale="80" zoomScaleNormal="80" workbookViewId="0">
      <selection activeCell="B22" sqref="B22"/>
    </sheetView>
  </sheetViews>
  <sheetFormatPr defaultColWidth="14.5703125" defaultRowHeight="15" x14ac:dyDescent="0.25"/>
  <cols>
    <col min="1" max="1" width="5.7109375" style="749" customWidth="1"/>
    <col min="2" max="2" width="48.42578125" style="749" customWidth="1"/>
    <col min="3" max="3" width="8.7109375" style="749" customWidth="1"/>
    <col min="4" max="11" width="15.7109375" style="749" customWidth="1"/>
    <col min="12" max="12" width="18.7109375" style="749" bestFit="1" customWidth="1"/>
    <col min="13" max="14" width="15.7109375" style="749" customWidth="1"/>
    <col min="15" max="15" width="30.5703125" style="749" customWidth="1"/>
    <col min="16" max="16" width="5.7109375" style="749" customWidth="1"/>
    <col min="17" max="16384" width="14.5703125" style="749"/>
  </cols>
  <sheetData>
    <row r="1" spans="1:17" ht="15.75" x14ac:dyDescent="0.25">
      <c r="A1" s="752"/>
      <c r="B1" s="753" t="s">
        <v>0</v>
      </c>
      <c r="C1" s="754"/>
      <c r="D1" s="754"/>
      <c r="E1" s="754"/>
      <c r="F1" s="754"/>
      <c r="G1" s="754"/>
      <c r="H1" s="754"/>
      <c r="I1" s="754"/>
      <c r="J1" s="754"/>
      <c r="K1" s="754"/>
      <c r="L1" s="754"/>
      <c r="M1" s="754"/>
      <c r="N1" s="754"/>
      <c r="O1" s="754"/>
    </row>
    <row r="2" spans="1:17" x14ac:dyDescent="0.25">
      <c r="A2" s="755"/>
      <c r="B2" s="753" t="s">
        <v>1134</v>
      </c>
      <c r="C2" s="754"/>
      <c r="D2" s="754"/>
      <c r="E2" s="754"/>
      <c r="F2" s="754"/>
      <c r="G2" s="754"/>
      <c r="H2" s="754"/>
      <c r="I2" s="754"/>
      <c r="J2" s="754"/>
      <c r="K2" s="754"/>
      <c r="L2" s="754"/>
      <c r="M2" s="754"/>
      <c r="N2" s="754"/>
      <c r="O2" s="754"/>
    </row>
    <row r="3" spans="1:17" x14ac:dyDescent="0.25">
      <c r="A3" s="755"/>
      <c r="B3" s="724" t="s">
        <v>1135</v>
      </c>
      <c r="C3" s="754"/>
      <c r="D3" s="754"/>
      <c r="E3" s="754"/>
      <c r="F3" s="754"/>
      <c r="G3" s="754"/>
      <c r="H3" s="754"/>
      <c r="I3" s="754"/>
      <c r="J3" s="754"/>
      <c r="K3" s="754"/>
      <c r="L3" s="754"/>
      <c r="M3" s="754"/>
      <c r="N3" s="754"/>
      <c r="O3" s="754"/>
    </row>
    <row r="4" spans="1:17" x14ac:dyDescent="0.25">
      <c r="A4" s="756"/>
      <c r="B4" s="757" t="s">
        <v>1956</v>
      </c>
      <c r="C4" s="758"/>
      <c r="D4" s="758"/>
      <c r="E4" s="758"/>
      <c r="F4" s="758"/>
      <c r="G4" s="758"/>
      <c r="H4" s="758"/>
      <c r="I4" s="758"/>
      <c r="J4" s="758"/>
      <c r="K4" s="758"/>
      <c r="L4" s="758"/>
      <c r="M4" s="758"/>
      <c r="N4" s="758"/>
      <c r="O4" s="759"/>
      <c r="P4" s="760"/>
      <c r="Q4" s="760"/>
    </row>
    <row r="5" spans="1:17" x14ac:dyDescent="0.25">
      <c r="A5" s="756"/>
      <c r="B5" s="1344" t="s">
        <v>4</v>
      </c>
      <c r="C5" s="1344"/>
      <c r="D5" s="1344"/>
      <c r="E5" s="1344"/>
      <c r="F5" s="1344"/>
      <c r="G5" s="1344"/>
      <c r="H5" s="1344"/>
      <c r="I5" s="1344"/>
      <c r="J5" s="1344"/>
      <c r="K5" s="1344"/>
      <c r="L5" s="1344"/>
      <c r="M5" s="1344"/>
      <c r="N5" s="1344"/>
      <c r="O5" s="1344"/>
      <c r="P5" s="760"/>
      <c r="Q5" s="760"/>
    </row>
    <row r="6" spans="1:17" x14ac:dyDescent="0.25">
      <c r="A6" s="756"/>
      <c r="B6" s="722"/>
      <c r="C6" s="722"/>
      <c r="D6" s="722"/>
      <c r="E6" s="722"/>
      <c r="F6" s="722"/>
      <c r="G6" s="722"/>
      <c r="H6" s="722"/>
      <c r="I6" s="722"/>
      <c r="J6" s="722"/>
      <c r="K6" s="722"/>
      <c r="L6" s="722"/>
      <c r="M6" s="722"/>
      <c r="N6" s="722"/>
      <c r="O6" s="722"/>
      <c r="P6" s="760"/>
      <c r="Q6" s="760"/>
    </row>
    <row r="7" spans="1:17" x14ac:dyDescent="0.25">
      <c r="A7" s="713"/>
      <c r="B7" s="756"/>
      <c r="C7" s="756"/>
      <c r="D7" s="761"/>
      <c r="E7" s="761"/>
      <c r="F7" s="761"/>
      <c r="G7" s="761"/>
      <c r="H7" s="761"/>
      <c r="I7" s="761"/>
      <c r="J7" s="761"/>
      <c r="K7" s="761"/>
      <c r="L7" s="762"/>
      <c r="M7" s="751" t="s">
        <v>1136</v>
      </c>
      <c r="N7" s="763">
        <v>2024</v>
      </c>
      <c r="O7" s="764"/>
      <c r="P7" s="748"/>
      <c r="Q7" s="748"/>
    </row>
    <row r="8" spans="1:17" x14ac:dyDescent="0.25">
      <c r="A8" s="713"/>
      <c r="B8" s="761"/>
      <c r="C8" s="761"/>
      <c r="D8" s="761"/>
      <c r="E8" s="761"/>
      <c r="F8" s="761"/>
      <c r="G8" s="761"/>
      <c r="H8" s="761"/>
      <c r="I8" s="761"/>
      <c r="J8" s="761"/>
      <c r="K8" s="761"/>
      <c r="L8" s="761"/>
      <c r="M8" s="761"/>
      <c r="N8" s="761"/>
      <c r="O8" s="764"/>
      <c r="P8" s="748"/>
      <c r="Q8" s="748"/>
    </row>
    <row r="9" spans="1:17" x14ac:dyDescent="0.25">
      <c r="A9" s="729"/>
      <c r="B9" s="765" t="s">
        <v>1137</v>
      </c>
      <c r="C9" s="765" t="s">
        <v>1138</v>
      </c>
      <c r="D9" s="765" t="s">
        <v>1139</v>
      </c>
      <c r="E9" s="765" t="s">
        <v>1140</v>
      </c>
      <c r="F9" s="765" t="s">
        <v>1141</v>
      </c>
      <c r="G9" s="765" t="s">
        <v>1142</v>
      </c>
      <c r="H9" s="765" t="s">
        <v>1143</v>
      </c>
      <c r="I9" s="765" t="s">
        <v>1144</v>
      </c>
      <c r="J9" s="765" t="s">
        <v>1145</v>
      </c>
      <c r="K9" s="765" t="s">
        <v>1146</v>
      </c>
      <c r="L9" s="765" t="s">
        <v>1147</v>
      </c>
      <c r="M9" s="765" t="s">
        <v>1148</v>
      </c>
      <c r="N9" s="765" t="s">
        <v>1149</v>
      </c>
      <c r="O9" s="766"/>
      <c r="P9" s="767"/>
      <c r="Q9" s="767"/>
    </row>
    <row r="10" spans="1:17" ht="15.75" thickBot="1" x14ac:dyDescent="0.3">
      <c r="A10" s="713"/>
      <c r="B10" s="729"/>
      <c r="C10" s="729"/>
      <c r="D10" s="729"/>
      <c r="E10" s="729"/>
      <c r="F10" s="729"/>
      <c r="G10" s="729"/>
      <c r="H10" s="729"/>
      <c r="I10" s="729"/>
      <c r="J10" s="729"/>
      <c r="K10" s="729"/>
      <c r="L10" s="729"/>
      <c r="M10" s="729"/>
      <c r="N10" s="729"/>
      <c r="O10" s="766"/>
      <c r="P10" s="766"/>
      <c r="Q10" s="766"/>
    </row>
    <row r="11" spans="1:17" ht="15.75" thickBot="1" x14ac:dyDescent="0.3">
      <c r="A11" s="713"/>
      <c r="B11" s="729"/>
      <c r="C11" s="729"/>
      <c r="D11" s="768"/>
      <c r="E11" s="768"/>
      <c r="F11" s="768"/>
      <c r="G11" s="768"/>
      <c r="H11" s="768"/>
      <c r="I11" s="768"/>
      <c r="J11" s="769" t="s">
        <v>263</v>
      </c>
      <c r="K11" s="795" t="s">
        <v>1150</v>
      </c>
      <c r="L11" s="769" t="s">
        <v>1151</v>
      </c>
      <c r="M11" s="769" t="s">
        <v>1152</v>
      </c>
      <c r="N11" s="769" t="s">
        <v>1152</v>
      </c>
      <c r="O11" s="766"/>
      <c r="P11" s="766"/>
      <c r="Q11" s="766"/>
    </row>
    <row r="12" spans="1:17" ht="71.25" customHeight="1" thickBot="1" x14ac:dyDescent="0.3">
      <c r="A12" s="770" t="s">
        <v>1153</v>
      </c>
      <c r="B12" s="796" t="s">
        <v>1154</v>
      </c>
      <c r="C12" s="771" t="s">
        <v>1155</v>
      </c>
      <c r="D12" s="772" t="s">
        <v>1156</v>
      </c>
      <c r="E12" s="772" t="s">
        <v>1157</v>
      </c>
      <c r="F12" s="772" t="s">
        <v>1158</v>
      </c>
      <c r="G12" s="772" t="s">
        <v>1159</v>
      </c>
      <c r="H12" s="773" t="s">
        <v>1160</v>
      </c>
      <c r="I12" s="772" t="s">
        <v>1161</v>
      </c>
      <c r="J12" s="772" t="s">
        <v>1162</v>
      </c>
      <c r="K12" s="772" t="s">
        <v>1163</v>
      </c>
      <c r="L12" s="773" t="s">
        <v>1164</v>
      </c>
      <c r="M12" s="772" t="s">
        <v>1165</v>
      </c>
      <c r="N12" s="772" t="s">
        <v>1166</v>
      </c>
      <c r="O12" s="796" t="s">
        <v>8</v>
      </c>
      <c r="P12" s="770" t="s">
        <v>1153</v>
      </c>
      <c r="Q12" s="774"/>
    </row>
    <row r="13" spans="1:17" x14ac:dyDescent="0.25">
      <c r="A13" s="728">
        <v>1</v>
      </c>
      <c r="B13" s="713" t="s">
        <v>1167</v>
      </c>
      <c r="C13" s="735"/>
      <c r="D13" s="713"/>
      <c r="E13" s="713"/>
      <c r="F13" s="713"/>
      <c r="G13" s="713"/>
      <c r="H13" s="713"/>
      <c r="I13" s="713"/>
      <c r="J13" s="713"/>
      <c r="K13" s="713"/>
      <c r="L13" s="713"/>
      <c r="M13" s="713"/>
      <c r="N13" s="713"/>
      <c r="O13" s="740"/>
      <c r="P13" s="728">
        <v>1</v>
      </c>
      <c r="Q13" s="748"/>
    </row>
    <row r="14" spans="1:17" x14ac:dyDescent="0.25">
      <c r="A14" s="728">
        <f t="shared" ref="A14:A44" si="0">+A13+1</f>
        <v>2</v>
      </c>
      <c r="B14" s="713" t="s">
        <v>1168</v>
      </c>
      <c r="C14" s="696"/>
      <c r="D14" s="713"/>
      <c r="E14" s="713"/>
      <c r="F14" s="713"/>
      <c r="G14" s="713"/>
      <c r="H14" s="713"/>
      <c r="I14" s="713"/>
      <c r="J14" s="713"/>
      <c r="K14" s="713"/>
      <c r="L14" s="713"/>
      <c r="M14" s="713"/>
      <c r="N14" s="713"/>
      <c r="O14" s="729"/>
      <c r="P14" s="728">
        <f t="shared" ref="P14:P44" si="1">+P13+1</f>
        <v>2</v>
      </c>
      <c r="Q14" s="748"/>
    </row>
    <row r="15" spans="1:17" x14ac:dyDescent="0.25">
      <c r="A15" s="728">
        <f t="shared" si="0"/>
        <v>3</v>
      </c>
      <c r="B15" s="713" t="s">
        <v>1169</v>
      </c>
      <c r="C15" s="696">
        <v>190</v>
      </c>
      <c r="D15" s="718">
        <v>0</v>
      </c>
      <c r="E15" s="718">
        <v>0</v>
      </c>
      <c r="F15" s="718"/>
      <c r="G15" s="718"/>
      <c r="H15" s="718"/>
      <c r="I15" s="718"/>
      <c r="J15" s="718">
        <v>-121.75572065244999</v>
      </c>
      <c r="K15" s="713">
        <f t="shared" ref="K15:K17" si="2">SUM(D15:I15)</f>
        <v>0</v>
      </c>
      <c r="L15" s="713">
        <f>+'Order 864-2'!I18</f>
        <v>0</v>
      </c>
      <c r="M15" s="713">
        <f>IF(SUM($K$15:$L$17)&lt;0,0,SUM($K15:$L15))</f>
        <v>0</v>
      </c>
      <c r="N15" s="713">
        <f>IF(SUM($K$15:$L$17)&lt;0,SUM($K15:$L15),0)</f>
        <v>0</v>
      </c>
      <c r="O15" s="729" t="s">
        <v>263</v>
      </c>
      <c r="P15" s="728">
        <f t="shared" si="1"/>
        <v>3</v>
      </c>
      <c r="Q15" s="748"/>
    </row>
    <row r="16" spans="1:17" x14ac:dyDescent="0.25">
      <c r="A16" s="728">
        <f t="shared" si="0"/>
        <v>4</v>
      </c>
      <c r="B16" s="713" t="s">
        <v>1170</v>
      </c>
      <c r="C16" s="696">
        <v>190</v>
      </c>
      <c r="D16" s="718">
        <v>0</v>
      </c>
      <c r="E16" s="718">
        <v>0</v>
      </c>
      <c r="F16" s="718"/>
      <c r="G16" s="718"/>
      <c r="H16" s="718"/>
      <c r="I16" s="718"/>
      <c r="J16" s="718">
        <v>-67.238548636628707</v>
      </c>
      <c r="K16" s="713">
        <f t="shared" si="2"/>
        <v>0</v>
      </c>
      <c r="L16" s="713">
        <f>+'Order 864-2'!I19</f>
        <v>0</v>
      </c>
      <c r="M16" s="713">
        <f>IF(SUM($K$15:$L$17)&lt;0,0,SUM($K16:$L16))</f>
        <v>0</v>
      </c>
      <c r="N16" s="713">
        <f>IF(SUM($K$15:$L$17)&lt;0,SUM($K16:$L16),0)</f>
        <v>0</v>
      </c>
      <c r="O16" s="729" t="s">
        <v>263</v>
      </c>
      <c r="P16" s="728">
        <f t="shared" si="1"/>
        <v>4</v>
      </c>
      <c r="Q16" s="748"/>
    </row>
    <row r="17" spans="1:17" x14ac:dyDescent="0.25">
      <c r="A17" s="728">
        <f t="shared" si="0"/>
        <v>5</v>
      </c>
      <c r="B17" s="713" t="s">
        <v>1171</v>
      </c>
      <c r="C17" s="696">
        <v>190</v>
      </c>
      <c r="D17" s="718">
        <v>0</v>
      </c>
      <c r="E17" s="718">
        <v>0</v>
      </c>
      <c r="F17" s="718"/>
      <c r="G17" s="718"/>
      <c r="H17" s="718"/>
      <c r="I17" s="718"/>
      <c r="J17" s="718">
        <v>-214.4</v>
      </c>
      <c r="K17" s="713">
        <f t="shared" si="2"/>
        <v>0</v>
      </c>
      <c r="L17" s="713">
        <f>+'Order 864-2'!I20</f>
        <v>0</v>
      </c>
      <c r="M17" s="713">
        <f>IF(SUM($K$15:$L$17)&lt;0,0,SUM($K17:$L17))</f>
        <v>0</v>
      </c>
      <c r="N17" s="713">
        <f>IF(SUM($K$15:$L$17)&lt;0,SUM($K17:$L17),0)</f>
        <v>0</v>
      </c>
      <c r="O17" s="729" t="s">
        <v>263</v>
      </c>
      <c r="P17" s="728">
        <f t="shared" si="1"/>
        <v>5</v>
      </c>
      <c r="Q17" s="748"/>
    </row>
    <row r="18" spans="1:17" x14ac:dyDescent="0.25">
      <c r="A18" s="728">
        <f t="shared" si="0"/>
        <v>6</v>
      </c>
      <c r="B18" s="713" t="s">
        <v>1172</v>
      </c>
      <c r="C18" s="696"/>
      <c r="D18" s="718"/>
      <c r="E18" s="718"/>
      <c r="F18" s="718"/>
      <c r="G18" s="718"/>
      <c r="H18" s="718"/>
      <c r="I18" s="718"/>
      <c r="J18" s="718">
        <v>0</v>
      </c>
      <c r="K18" s="713"/>
      <c r="L18" s="713"/>
      <c r="M18" s="713"/>
      <c r="N18" s="713"/>
      <c r="O18" s="729"/>
      <c r="P18" s="728">
        <f t="shared" si="1"/>
        <v>6</v>
      </c>
      <c r="Q18" s="748"/>
    </row>
    <row r="19" spans="1:17" x14ac:dyDescent="0.25">
      <c r="A19" s="728">
        <f t="shared" si="0"/>
        <v>7</v>
      </c>
      <c r="B19" s="713" t="s">
        <v>1173</v>
      </c>
      <c r="C19" s="696">
        <v>190</v>
      </c>
      <c r="D19" s="718">
        <v>0</v>
      </c>
      <c r="E19" s="718">
        <v>0</v>
      </c>
      <c r="F19" s="718"/>
      <c r="G19" s="718"/>
      <c r="H19" s="718"/>
      <c r="I19" s="718"/>
      <c r="J19" s="718">
        <v>-555.29460583790205</v>
      </c>
      <c r="K19" s="713">
        <f t="shared" ref="K19" si="3">SUM(D19:I19)</f>
        <v>0</v>
      </c>
      <c r="L19" s="713">
        <f>+'Order 864-2'!I22</f>
        <v>0</v>
      </c>
      <c r="M19" s="713">
        <f>IF(SUM($K$19:$L$19)&lt;0,0,SUM($K19:$L19))</f>
        <v>0</v>
      </c>
      <c r="N19" s="713">
        <f>IF(SUM($K$19:$L$19)&lt;0,SUM($K19:$L19),0)</f>
        <v>0</v>
      </c>
      <c r="O19" s="729" t="s">
        <v>263</v>
      </c>
      <c r="P19" s="728">
        <f t="shared" si="1"/>
        <v>7</v>
      </c>
      <c r="Q19" s="748"/>
    </row>
    <row r="20" spans="1:17" x14ac:dyDescent="0.25">
      <c r="A20" s="728">
        <f t="shared" si="0"/>
        <v>8</v>
      </c>
      <c r="B20" s="713" t="s">
        <v>1174</v>
      </c>
      <c r="C20" s="696"/>
      <c r="D20" s="718"/>
      <c r="E20" s="718"/>
      <c r="F20" s="718"/>
      <c r="G20" s="718"/>
      <c r="H20" s="718"/>
      <c r="I20" s="718"/>
      <c r="J20" s="718">
        <v>0</v>
      </c>
      <c r="K20" s="713"/>
      <c r="L20" s="713"/>
      <c r="M20" s="713"/>
      <c r="N20" s="713"/>
      <c r="O20" s="729"/>
      <c r="P20" s="728">
        <f t="shared" si="1"/>
        <v>8</v>
      </c>
      <c r="Q20" s="748"/>
    </row>
    <row r="21" spans="1:17" x14ac:dyDescent="0.25">
      <c r="A21" s="728">
        <f t="shared" si="0"/>
        <v>9</v>
      </c>
      <c r="B21" s="713" t="s">
        <v>1175</v>
      </c>
      <c r="C21" s="696">
        <v>283</v>
      </c>
      <c r="D21" s="718">
        <v>0</v>
      </c>
      <c r="E21" s="718">
        <v>0</v>
      </c>
      <c r="F21" s="718"/>
      <c r="G21" s="718"/>
      <c r="H21" s="718"/>
      <c r="I21" s="718"/>
      <c r="J21" s="718">
        <v>-21828.386489952001</v>
      </c>
      <c r="K21" s="713">
        <f t="shared" ref="K21:K22" si="4">SUM(D21:I21)</f>
        <v>0</v>
      </c>
      <c r="L21" s="713">
        <f>+'Order 864-2'!I24</f>
        <v>0</v>
      </c>
      <c r="M21" s="713">
        <f>IF(SUM($K$21:$L$22)&lt;0,0,SUM($K21:$L21))</f>
        <v>0</v>
      </c>
      <c r="N21" s="713">
        <f>IF(SUM($K$21:$L$22)&lt;0,SUM($K21:$L21),0)</f>
        <v>0</v>
      </c>
      <c r="O21" s="729" t="s">
        <v>263</v>
      </c>
      <c r="P21" s="728">
        <f t="shared" si="1"/>
        <v>9</v>
      </c>
      <c r="Q21" s="748"/>
    </row>
    <row r="22" spans="1:17" x14ac:dyDescent="0.25">
      <c r="A22" s="728">
        <f t="shared" si="0"/>
        <v>10</v>
      </c>
      <c r="B22" s="713" t="s">
        <v>1176</v>
      </c>
      <c r="C22" s="696">
        <v>283</v>
      </c>
      <c r="D22" s="718">
        <v>0</v>
      </c>
      <c r="E22" s="718">
        <v>0</v>
      </c>
      <c r="F22" s="718"/>
      <c r="G22" s="718"/>
      <c r="H22" s="718"/>
      <c r="I22" s="718"/>
      <c r="J22" s="718">
        <v>24387.763684080001</v>
      </c>
      <c r="K22" s="713">
        <f t="shared" si="4"/>
        <v>0</v>
      </c>
      <c r="L22" s="713">
        <f>+'Order 864-2'!I25</f>
        <v>0</v>
      </c>
      <c r="M22" s="713">
        <f>IF(SUM($K$21:$L$22)&lt;0,0,SUM($K22:$L22))</f>
        <v>0</v>
      </c>
      <c r="N22" s="713">
        <f>IF(SUM($K$21:$L$22)&lt;0,SUM($K22:$L22),0)</f>
        <v>0</v>
      </c>
      <c r="O22" s="729" t="s">
        <v>263</v>
      </c>
      <c r="P22" s="728">
        <f t="shared" si="1"/>
        <v>10</v>
      </c>
      <c r="Q22" s="748"/>
    </row>
    <row r="23" spans="1:17" x14ac:dyDescent="0.25">
      <c r="A23" s="728">
        <f>+A22+1</f>
        <v>11</v>
      </c>
      <c r="B23" s="729"/>
      <c r="C23" s="730"/>
      <c r="D23" s="731"/>
      <c r="E23" s="731"/>
      <c r="F23" s="731"/>
      <c r="G23" s="731"/>
      <c r="H23" s="731"/>
      <c r="I23" s="731"/>
      <c r="J23" s="780"/>
      <c r="K23" s="731"/>
      <c r="L23" s="731"/>
      <c r="M23" s="731"/>
      <c r="N23" s="731"/>
      <c r="O23" s="713"/>
      <c r="P23" s="728">
        <f>+P22+1</f>
        <v>11</v>
      </c>
      <c r="Q23" s="748"/>
    </row>
    <row r="24" spans="1:17" ht="15.75" thickBot="1" x14ac:dyDescent="0.3">
      <c r="A24" s="728">
        <f t="shared" si="0"/>
        <v>12</v>
      </c>
      <c r="B24" s="729" t="s">
        <v>1177</v>
      </c>
      <c r="C24" s="713"/>
      <c r="D24" s="711">
        <f t="shared" ref="D24:N24" si="5">SUM(D14:D22)</f>
        <v>0</v>
      </c>
      <c r="E24" s="732">
        <f t="shared" si="5"/>
        <v>0</v>
      </c>
      <c r="F24" s="711">
        <f>SUM(F14:F22)</f>
        <v>0</v>
      </c>
      <c r="G24" s="732">
        <f t="shared" si="5"/>
        <v>0</v>
      </c>
      <c r="H24" s="711">
        <f t="shared" si="5"/>
        <v>0</v>
      </c>
      <c r="I24" s="732">
        <f t="shared" si="5"/>
        <v>0</v>
      </c>
      <c r="J24" s="711">
        <f t="shared" si="5"/>
        <v>1600.6883190010194</v>
      </c>
      <c r="K24" s="711">
        <f t="shared" si="5"/>
        <v>0</v>
      </c>
      <c r="L24" s="711">
        <f t="shared" si="5"/>
        <v>0</v>
      </c>
      <c r="M24" s="711">
        <f t="shared" si="5"/>
        <v>0</v>
      </c>
      <c r="N24" s="711">
        <f t="shared" si="5"/>
        <v>0</v>
      </c>
      <c r="O24" s="729" t="s">
        <v>1178</v>
      </c>
      <c r="P24" s="728">
        <f t="shared" si="1"/>
        <v>12</v>
      </c>
      <c r="Q24" s="748"/>
    </row>
    <row r="25" spans="1:17" ht="15.75" thickTop="1" x14ac:dyDescent="0.25">
      <c r="A25" s="728">
        <f t="shared" si="0"/>
        <v>13</v>
      </c>
      <c r="B25" s="713"/>
      <c r="C25" s="713"/>
      <c r="D25" s="733"/>
      <c r="E25" s="733"/>
      <c r="F25" s="733"/>
      <c r="G25" s="733"/>
      <c r="H25" s="733"/>
      <c r="I25" s="733"/>
      <c r="J25" s="733"/>
      <c r="K25" s="733"/>
      <c r="L25" s="733"/>
      <c r="M25" s="733"/>
      <c r="N25" s="733"/>
      <c r="O25" s="713"/>
      <c r="P25" s="728">
        <f t="shared" si="1"/>
        <v>13</v>
      </c>
      <c r="Q25" s="748"/>
    </row>
    <row r="26" spans="1:17" x14ac:dyDescent="0.25">
      <c r="A26" s="728">
        <f t="shared" si="0"/>
        <v>14</v>
      </c>
      <c r="B26" s="713" t="s">
        <v>1179</v>
      </c>
      <c r="C26" s="734"/>
      <c r="D26" s="733"/>
      <c r="E26" s="733"/>
      <c r="F26" s="733"/>
      <c r="G26" s="733"/>
      <c r="H26" s="733"/>
      <c r="I26" s="733"/>
      <c r="J26" s="733"/>
      <c r="K26" s="733"/>
      <c r="L26" s="733"/>
      <c r="M26" s="733"/>
      <c r="N26" s="733"/>
      <c r="O26" s="713"/>
      <c r="P26" s="728">
        <f t="shared" si="1"/>
        <v>14</v>
      </c>
      <c r="Q26" s="748"/>
    </row>
    <row r="27" spans="1:17" x14ac:dyDescent="0.25">
      <c r="A27" s="728">
        <f t="shared" si="0"/>
        <v>15</v>
      </c>
      <c r="B27" s="713" t="s">
        <v>1180</v>
      </c>
      <c r="C27" s="728">
        <v>190</v>
      </c>
      <c r="D27" s="718">
        <v>102382.34081987417</v>
      </c>
      <c r="E27" s="718">
        <v>0</v>
      </c>
      <c r="F27" s="718">
        <v>2.1948452500380538</v>
      </c>
      <c r="G27" s="718"/>
      <c r="H27" s="718">
        <v>-1568.8560215122952</v>
      </c>
      <c r="I27" s="718"/>
      <c r="J27" s="718">
        <v>-9643.4293021242775</v>
      </c>
      <c r="K27" s="713">
        <f>SUM(D27:I27)</f>
        <v>100815.6796436119</v>
      </c>
      <c r="L27" s="713">
        <f>+'Order 864-2'!I30</f>
        <v>0</v>
      </c>
      <c r="M27" s="713">
        <f>IF(SUM($K$27:$L$27)&lt;0,0,SUM($K27:$L27))</f>
        <v>100815.6796436119</v>
      </c>
      <c r="N27" s="713">
        <f>IF(SUM($K$27:$L$27)&lt;0,SUM($K27:$L27),0)</f>
        <v>0</v>
      </c>
      <c r="O27" s="729" t="s">
        <v>263</v>
      </c>
      <c r="P27" s="728">
        <f t="shared" si="1"/>
        <v>15</v>
      </c>
      <c r="Q27" s="748"/>
    </row>
    <row r="28" spans="1:17" x14ac:dyDescent="0.25">
      <c r="A28" s="728">
        <f t="shared" si="0"/>
        <v>16</v>
      </c>
      <c r="B28" s="713" t="s">
        <v>1181</v>
      </c>
      <c r="C28" s="728"/>
      <c r="D28" s="718"/>
      <c r="E28" s="718"/>
      <c r="F28" s="718"/>
      <c r="G28" s="718"/>
      <c r="H28" s="718"/>
      <c r="I28" s="718"/>
      <c r="J28" s="718">
        <v>0</v>
      </c>
      <c r="K28" s="713"/>
      <c r="L28" s="713"/>
      <c r="M28" s="713"/>
      <c r="N28" s="713"/>
      <c r="O28" s="729"/>
      <c r="P28" s="728">
        <f t="shared" si="1"/>
        <v>16</v>
      </c>
      <c r="Q28" s="748"/>
    </row>
    <row r="29" spans="1:17" x14ac:dyDescent="0.25">
      <c r="A29" s="728">
        <f t="shared" si="0"/>
        <v>17</v>
      </c>
      <c r="B29" s="713" t="s">
        <v>1182</v>
      </c>
      <c r="C29" s="728">
        <v>282</v>
      </c>
      <c r="D29" s="718">
        <v>0</v>
      </c>
      <c r="E29" s="718">
        <v>-367085.59579163283</v>
      </c>
      <c r="F29" s="718"/>
      <c r="G29" s="718">
        <v>-7.005869999999959</v>
      </c>
      <c r="H29" s="718"/>
      <c r="I29" s="718">
        <v>5939.4156530612518</v>
      </c>
      <c r="J29" s="718">
        <v>34576.378066549099</v>
      </c>
      <c r="K29" s="713">
        <f t="shared" ref="K29:K30" si="6">SUM(D29:I29)</f>
        <v>-361153.18600857159</v>
      </c>
      <c r="L29" s="713">
        <f>+'Order 864-2'!I32</f>
        <v>0</v>
      </c>
      <c r="M29" s="713">
        <f>IF(SUM($K$29:$L$30)&lt;0,0,SUM($K29:$L29))</f>
        <v>0</v>
      </c>
      <c r="N29" s="713">
        <f>IF(SUM($K$29:$L$30)&lt;0,SUM($K29:$L29),0)</f>
        <v>-361153.18600857159</v>
      </c>
      <c r="O29" s="729" t="s">
        <v>263</v>
      </c>
      <c r="P29" s="728">
        <f t="shared" si="1"/>
        <v>17</v>
      </c>
      <c r="Q29" s="748"/>
    </row>
    <row r="30" spans="1:17" x14ac:dyDescent="0.25">
      <c r="A30" s="728">
        <f t="shared" si="0"/>
        <v>18</v>
      </c>
      <c r="B30" s="713" t="s">
        <v>1183</v>
      </c>
      <c r="C30" s="728">
        <v>282</v>
      </c>
      <c r="D30" s="718">
        <v>0</v>
      </c>
      <c r="E30" s="718">
        <v>5858.5748999999996</v>
      </c>
      <c r="F30" s="718"/>
      <c r="G30" s="718">
        <v>1.0000000656873453E-5</v>
      </c>
      <c r="H30" s="718"/>
      <c r="I30" s="718">
        <v>-831.95100000000002</v>
      </c>
      <c r="J30" s="718">
        <v>-6989.018970000001</v>
      </c>
      <c r="K30" s="713">
        <f t="shared" si="6"/>
        <v>5026.6239100000003</v>
      </c>
      <c r="L30" s="713">
        <f>+'Order 864-2'!I33</f>
        <v>0</v>
      </c>
      <c r="M30" s="713">
        <f>IF(SUM($K$29:$L$30)&lt;0,0,SUM($K30:$L30))</f>
        <v>0</v>
      </c>
      <c r="N30" s="713">
        <f>IF(SUM($K$29:$L$30)&lt;0,SUM($K30:$L30),0)</f>
        <v>5026.6239100000003</v>
      </c>
      <c r="O30" s="729" t="s">
        <v>263</v>
      </c>
      <c r="P30" s="728">
        <f t="shared" si="1"/>
        <v>18</v>
      </c>
      <c r="Q30" s="748"/>
    </row>
    <row r="31" spans="1:17" x14ac:dyDescent="0.25">
      <c r="A31" s="728">
        <f t="shared" si="0"/>
        <v>19</v>
      </c>
      <c r="B31" s="729" t="s">
        <v>1184</v>
      </c>
      <c r="C31" s="730"/>
      <c r="D31" s="721">
        <f t="shared" ref="D31:N31" si="7">SUM(D27:D30)</f>
        <v>102382.34081987417</v>
      </c>
      <c r="E31" s="721">
        <f t="shared" si="7"/>
        <v>-361227.02089163283</v>
      </c>
      <c r="F31" s="721">
        <f t="shared" si="7"/>
        <v>2.1948452500380538</v>
      </c>
      <c r="G31" s="721">
        <f t="shared" si="7"/>
        <v>-7.0058599999993021</v>
      </c>
      <c r="H31" s="721">
        <f t="shared" si="7"/>
        <v>-1568.8560215122952</v>
      </c>
      <c r="I31" s="721">
        <f t="shared" si="7"/>
        <v>5107.4646530612517</v>
      </c>
      <c r="J31" s="721">
        <f t="shared" si="7"/>
        <v>17943.929794424821</v>
      </c>
      <c r="K31" s="721">
        <f t="shared" si="7"/>
        <v>-255310.8824549597</v>
      </c>
      <c r="L31" s="721">
        <f t="shared" si="7"/>
        <v>0</v>
      </c>
      <c r="M31" s="721">
        <f t="shared" si="7"/>
        <v>100815.6796436119</v>
      </c>
      <c r="N31" s="721">
        <f t="shared" si="7"/>
        <v>-356126.56209857157</v>
      </c>
      <c r="O31" s="729" t="s">
        <v>1185</v>
      </c>
      <c r="P31" s="728">
        <f t="shared" si="1"/>
        <v>19</v>
      </c>
      <c r="Q31" s="748"/>
    </row>
    <row r="32" spans="1:17" x14ac:dyDescent="0.25">
      <c r="A32" s="728">
        <f t="shared" si="0"/>
        <v>20</v>
      </c>
      <c r="B32" s="713"/>
      <c r="C32" s="730"/>
      <c r="D32" s="733"/>
      <c r="E32" s="733"/>
      <c r="F32" s="733"/>
      <c r="G32" s="733"/>
      <c r="H32" s="733"/>
      <c r="I32" s="733"/>
      <c r="J32" s="713"/>
      <c r="K32" s="733"/>
      <c r="L32" s="733"/>
      <c r="M32" s="733"/>
      <c r="N32" s="733"/>
      <c r="O32" s="713"/>
      <c r="P32" s="728">
        <f t="shared" si="1"/>
        <v>20</v>
      </c>
      <c r="Q32" s="748"/>
    </row>
    <row r="33" spans="1:17" x14ac:dyDescent="0.25">
      <c r="A33" s="728">
        <f t="shared" si="0"/>
        <v>21</v>
      </c>
      <c r="B33" s="713" t="s">
        <v>1186</v>
      </c>
      <c r="C33" s="735"/>
      <c r="D33" s="733"/>
      <c r="E33" s="733"/>
      <c r="F33" s="733"/>
      <c r="G33" s="733"/>
      <c r="H33" s="733"/>
      <c r="I33" s="733"/>
      <c r="J33" s="713"/>
      <c r="K33" s="733"/>
      <c r="L33" s="733"/>
      <c r="M33" s="733"/>
      <c r="N33" s="733"/>
      <c r="O33" s="713"/>
      <c r="P33" s="728">
        <f t="shared" si="1"/>
        <v>21</v>
      </c>
      <c r="Q33" s="748"/>
    </row>
    <row r="34" spans="1:17" x14ac:dyDescent="0.25">
      <c r="A34" s="728">
        <f t="shared" si="0"/>
        <v>22</v>
      </c>
      <c r="B34" s="713" t="s">
        <v>1187</v>
      </c>
      <c r="C34" s="728">
        <v>282</v>
      </c>
      <c r="D34" s="718">
        <v>0</v>
      </c>
      <c r="E34" s="718">
        <v>-11617.47747</v>
      </c>
      <c r="F34" s="718"/>
      <c r="G34" s="718">
        <v>-0.49292999999852327</v>
      </c>
      <c r="H34" s="718"/>
      <c r="I34" s="718">
        <v>268.28499999999985</v>
      </c>
      <c r="J34" s="718">
        <v>1856.5308836363602</v>
      </c>
      <c r="K34" s="713">
        <f>SUM(D34:I34)</f>
        <v>-11349.685399999998</v>
      </c>
      <c r="L34" s="713">
        <f>+'Order 864-2'!I37</f>
        <v>0</v>
      </c>
      <c r="M34" s="713">
        <f>IF(SUM($K$34:$L$34)&lt;0,0,SUM($K34:$L34))</f>
        <v>0</v>
      </c>
      <c r="N34" s="713">
        <f>IF(SUM($K$34:$L$34)&lt;0,SUM($K34:$L34),0)</f>
        <v>-11349.685399999998</v>
      </c>
      <c r="O34" s="729" t="s">
        <v>263</v>
      </c>
      <c r="P34" s="728">
        <f t="shared" si="1"/>
        <v>22</v>
      </c>
      <c r="Q34" s="748"/>
    </row>
    <row r="35" spans="1:17" x14ac:dyDescent="0.25">
      <c r="A35" s="728">
        <f t="shared" si="0"/>
        <v>23</v>
      </c>
      <c r="B35" s="713" t="s">
        <v>1188</v>
      </c>
      <c r="C35" s="728">
        <v>282</v>
      </c>
      <c r="D35" s="718">
        <v>0</v>
      </c>
      <c r="E35" s="718">
        <v>-30213.872339999998</v>
      </c>
      <c r="F35" s="718"/>
      <c r="G35" s="718">
        <v>-1.2083399999974063</v>
      </c>
      <c r="H35" s="718"/>
      <c r="I35" s="718">
        <v>834.13899999999921</v>
      </c>
      <c r="J35" s="718">
        <v>9282.8502627272683</v>
      </c>
      <c r="K35" s="713">
        <f t="shared" ref="K35:K36" si="8">SUM(D35:I35)</f>
        <v>-29380.941679999996</v>
      </c>
      <c r="L35" s="713">
        <f>+'Order 864-2'!I38</f>
        <v>0</v>
      </c>
      <c r="M35" s="713">
        <f>IF(SUM($K$35:$L$35)&lt;0,0,SUM($K35:$L35))</f>
        <v>0</v>
      </c>
      <c r="N35" s="713">
        <f>IF(SUM($K$35:$L$35)&lt;0,SUM($K35:$L35),0)</f>
        <v>-29380.941679999996</v>
      </c>
      <c r="O35" s="729" t="s">
        <v>263</v>
      </c>
      <c r="P35" s="728">
        <f t="shared" si="1"/>
        <v>23</v>
      </c>
      <c r="Q35" s="748"/>
    </row>
    <row r="36" spans="1:17" x14ac:dyDescent="0.25">
      <c r="A36" s="728">
        <f t="shared" si="0"/>
        <v>24</v>
      </c>
      <c r="B36" s="713" t="s">
        <v>1189</v>
      </c>
      <c r="C36" s="736">
        <v>282</v>
      </c>
      <c r="D36" s="718">
        <v>13587.34455670305</v>
      </c>
      <c r="E36" s="718">
        <v>0</v>
      </c>
      <c r="F36" s="718">
        <v>19.14223536157936</v>
      </c>
      <c r="G36" s="718"/>
      <c r="H36" s="718">
        <v>-241.75899999999911</v>
      </c>
      <c r="I36" s="718"/>
      <c r="J36" s="718">
        <v>-34.487867735069301</v>
      </c>
      <c r="K36" s="713">
        <f t="shared" si="8"/>
        <v>13364.72779206463</v>
      </c>
      <c r="L36" s="713">
        <f>+'Order 864-2'!I39</f>
        <v>0</v>
      </c>
      <c r="M36" s="713">
        <f>IF(SUM($K$36:$L$36)&lt;0,0,SUM($K36:$L36))</f>
        <v>13364.72779206463</v>
      </c>
      <c r="N36" s="713">
        <f>IF(SUM($K$36:$L$36)&lt;0,SUM($K36:$L36),0)</f>
        <v>0</v>
      </c>
      <c r="O36" s="729" t="s">
        <v>263</v>
      </c>
      <c r="P36" s="728">
        <f t="shared" si="1"/>
        <v>24</v>
      </c>
      <c r="Q36" s="748"/>
    </row>
    <row r="37" spans="1:17" x14ac:dyDescent="0.25">
      <c r="A37" s="728">
        <f t="shared" si="0"/>
        <v>25</v>
      </c>
      <c r="B37" s="729" t="s">
        <v>1184</v>
      </c>
      <c r="C37" s="730"/>
      <c r="D37" s="721">
        <f t="shared" ref="D37:L37" si="9">SUM(D34:D36)</f>
        <v>13587.34455670305</v>
      </c>
      <c r="E37" s="721">
        <f t="shared" si="9"/>
        <v>-41831.34981</v>
      </c>
      <c r="F37" s="721">
        <f t="shared" si="9"/>
        <v>19.14223536157936</v>
      </c>
      <c r="G37" s="721">
        <f t="shared" si="9"/>
        <v>-1.7012699999959295</v>
      </c>
      <c r="H37" s="721">
        <f t="shared" si="9"/>
        <v>-241.75899999999911</v>
      </c>
      <c r="I37" s="721">
        <f t="shared" si="9"/>
        <v>1102.4239999999991</v>
      </c>
      <c r="J37" s="721">
        <f t="shared" ref="J37" si="10">SUM(J34:J36)</f>
        <v>11104.893278628559</v>
      </c>
      <c r="K37" s="721">
        <f t="shared" si="9"/>
        <v>-27365.899287935361</v>
      </c>
      <c r="L37" s="721">
        <f t="shared" si="9"/>
        <v>0</v>
      </c>
      <c r="M37" s="721">
        <f>SUM(M34:M36)</f>
        <v>13364.72779206463</v>
      </c>
      <c r="N37" s="721">
        <f>SUM(N34:N36)</f>
        <v>-40730.627079999991</v>
      </c>
      <c r="O37" s="729" t="s">
        <v>1190</v>
      </c>
      <c r="P37" s="728">
        <f t="shared" si="1"/>
        <v>25</v>
      </c>
      <c r="Q37" s="748"/>
    </row>
    <row r="38" spans="1:17" x14ac:dyDescent="0.25">
      <c r="A38" s="728">
        <f t="shared" si="0"/>
        <v>26</v>
      </c>
      <c r="B38" s="713"/>
      <c r="C38" s="730"/>
      <c r="D38" s="731"/>
      <c r="E38" s="731"/>
      <c r="F38" s="731"/>
      <c r="G38" s="731"/>
      <c r="H38" s="731"/>
      <c r="I38" s="731"/>
      <c r="J38" s="731"/>
      <c r="K38" s="731"/>
      <c r="L38" s="731"/>
      <c r="M38" s="731"/>
      <c r="N38" s="731"/>
      <c r="O38" s="713"/>
      <c r="P38" s="728">
        <f t="shared" si="1"/>
        <v>26</v>
      </c>
      <c r="Q38" s="748"/>
    </row>
    <row r="39" spans="1:17" x14ac:dyDescent="0.25">
      <c r="A39" s="728">
        <f t="shared" si="0"/>
        <v>27</v>
      </c>
      <c r="B39" s="713" t="s">
        <v>1186</v>
      </c>
      <c r="C39" s="735"/>
      <c r="D39" s="733"/>
      <c r="E39" s="733"/>
      <c r="F39" s="733"/>
      <c r="G39" s="733"/>
      <c r="H39" s="733"/>
      <c r="I39" s="733"/>
      <c r="J39" s="733"/>
      <c r="K39" s="733"/>
      <c r="L39" s="733"/>
      <c r="M39" s="733"/>
      <c r="N39" s="733"/>
      <c r="O39" s="713"/>
      <c r="P39" s="728">
        <f t="shared" si="1"/>
        <v>27</v>
      </c>
      <c r="Q39" s="748"/>
    </row>
    <row r="40" spans="1:17" x14ac:dyDescent="0.25">
      <c r="A40" s="728">
        <f t="shared" si="0"/>
        <v>28</v>
      </c>
      <c r="B40" s="713" t="s">
        <v>1191</v>
      </c>
      <c r="C40" s="736">
        <v>282</v>
      </c>
      <c r="D40" s="746">
        <v>36977.566675530237</v>
      </c>
      <c r="E40" s="792">
        <v>0</v>
      </c>
      <c r="F40" s="781">
        <v>-203.56109879508006</v>
      </c>
      <c r="G40" s="781"/>
      <c r="H40" s="781">
        <v>-750.41400000000431</v>
      </c>
      <c r="I40" s="781"/>
      <c r="J40" s="718">
        <v>-3679.4399505396591</v>
      </c>
      <c r="K40" s="747">
        <f>SUM(D40:I40)</f>
        <v>36023.591576735154</v>
      </c>
      <c r="L40" s="747">
        <f>+'Order 864-2'!I43</f>
        <v>0</v>
      </c>
      <c r="M40" s="713">
        <f>IF(SUM($K$40:$L$40)&lt;0,0,SUM($K40:$L40))</f>
        <v>36023.591576735154</v>
      </c>
      <c r="N40" s="713">
        <f>IF(SUM($K$40:$L$40)&lt;0,SUM($K40:$L40),0)</f>
        <v>0</v>
      </c>
      <c r="O40" s="729" t="s">
        <v>263</v>
      </c>
      <c r="P40" s="728">
        <f t="shared" si="1"/>
        <v>28</v>
      </c>
      <c r="Q40" s="748"/>
    </row>
    <row r="41" spans="1:17" x14ac:dyDescent="0.25">
      <c r="A41" s="728">
        <f t="shared" si="0"/>
        <v>29</v>
      </c>
      <c r="B41" s="713"/>
      <c r="C41" s="730"/>
      <c r="D41" s="737"/>
      <c r="E41" s="737"/>
      <c r="F41" s="737"/>
      <c r="G41" s="737"/>
      <c r="H41" s="737"/>
      <c r="I41" s="737"/>
      <c r="J41" s="737"/>
      <c r="K41" s="737"/>
      <c r="L41" s="737"/>
      <c r="M41" s="737"/>
      <c r="N41" s="737"/>
      <c r="O41" s="713"/>
      <c r="P41" s="728">
        <f t="shared" si="1"/>
        <v>29</v>
      </c>
      <c r="Q41" s="748"/>
    </row>
    <row r="42" spans="1:17" ht="15.75" thickBot="1" x14ac:dyDescent="0.3">
      <c r="A42" s="728">
        <f t="shared" si="0"/>
        <v>30</v>
      </c>
      <c r="B42" s="729" t="s">
        <v>1192</v>
      </c>
      <c r="C42" s="730"/>
      <c r="D42" s="711">
        <f t="shared" ref="D42:N42" si="11">+D40+D37+D31</f>
        <v>152947.25205210745</v>
      </c>
      <c r="E42" s="711">
        <f t="shared" si="11"/>
        <v>-403058.37070163281</v>
      </c>
      <c r="F42" s="711">
        <f t="shared" si="11"/>
        <v>-182.22401818346265</v>
      </c>
      <c r="G42" s="711">
        <f t="shared" si="11"/>
        <v>-8.7071299999952316</v>
      </c>
      <c r="H42" s="711">
        <f t="shared" si="11"/>
        <v>-2561.0290215122986</v>
      </c>
      <c r="I42" s="711">
        <f t="shared" si="11"/>
        <v>6209.8886530612508</v>
      </c>
      <c r="J42" s="711">
        <f t="shared" ref="J42" si="12">J31+J37+J40</f>
        <v>25369.383122513722</v>
      </c>
      <c r="K42" s="711">
        <f t="shared" si="11"/>
        <v>-246653.19016615991</v>
      </c>
      <c r="L42" s="711">
        <f t="shared" si="11"/>
        <v>0</v>
      </c>
      <c r="M42" s="711">
        <f t="shared" si="11"/>
        <v>150203.99901241169</v>
      </c>
      <c r="N42" s="711">
        <f t="shared" si="11"/>
        <v>-396857.18917857157</v>
      </c>
      <c r="O42" s="797" t="s">
        <v>1193</v>
      </c>
      <c r="P42" s="728">
        <f t="shared" si="1"/>
        <v>30</v>
      </c>
      <c r="Q42" s="748"/>
    </row>
    <row r="43" spans="1:17" ht="15.75" thickTop="1" x14ac:dyDescent="0.25">
      <c r="A43" s="728">
        <f t="shared" si="0"/>
        <v>31</v>
      </c>
      <c r="B43" s="713"/>
      <c r="C43" s="713"/>
      <c r="D43" s="738"/>
      <c r="E43" s="738"/>
      <c r="F43" s="738"/>
      <c r="G43" s="738"/>
      <c r="H43" s="738"/>
      <c r="I43" s="738"/>
      <c r="J43" s="738"/>
      <c r="K43" s="738"/>
      <c r="L43" s="738"/>
      <c r="M43" s="738"/>
      <c r="N43" s="738"/>
      <c r="O43" s="713"/>
      <c r="P43" s="728">
        <f t="shared" si="1"/>
        <v>31</v>
      </c>
      <c r="Q43" s="748"/>
    </row>
    <row r="44" spans="1:17" ht="15.75" thickBot="1" x14ac:dyDescent="0.3">
      <c r="A44" s="728">
        <f t="shared" si="0"/>
        <v>32</v>
      </c>
      <c r="B44" s="729" t="s">
        <v>1194</v>
      </c>
      <c r="C44" s="713"/>
      <c r="D44" s="711">
        <f t="shared" ref="D44:N44" si="13">D24+D42</f>
        <v>152947.25205210745</v>
      </c>
      <c r="E44" s="711">
        <f t="shared" si="13"/>
        <v>-403058.37070163281</v>
      </c>
      <c r="F44" s="711">
        <f t="shared" si="13"/>
        <v>-182.22401818346265</v>
      </c>
      <c r="G44" s="711">
        <f t="shared" si="13"/>
        <v>-8.7071299999952316</v>
      </c>
      <c r="H44" s="711">
        <f t="shared" si="13"/>
        <v>-2561.0290215122986</v>
      </c>
      <c r="I44" s="711">
        <f t="shared" si="13"/>
        <v>6209.8886530612508</v>
      </c>
      <c r="J44" s="711">
        <f t="shared" si="13"/>
        <v>26970.071441514741</v>
      </c>
      <c r="K44" s="711">
        <f t="shared" si="13"/>
        <v>-246653.19016615991</v>
      </c>
      <c r="L44" s="711">
        <f t="shared" si="13"/>
        <v>0</v>
      </c>
      <c r="M44" s="711">
        <f t="shared" si="13"/>
        <v>150203.99901241169</v>
      </c>
      <c r="N44" s="711">
        <f t="shared" si="13"/>
        <v>-396857.18917857157</v>
      </c>
      <c r="O44" s="729" t="s">
        <v>1195</v>
      </c>
      <c r="P44" s="728">
        <f t="shared" si="1"/>
        <v>32</v>
      </c>
      <c r="Q44" s="748"/>
    </row>
    <row r="45" spans="1:17" ht="15.75" thickTop="1" x14ac:dyDescent="0.25">
      <c r="A45" s="728"/>
      <c r="B45" s="713"/>
      <c r="C45" s="713"/>
      <c r="D45" s="713"/>
      <c r="E45" s="713"/>
      <c r="F45" s="713"/>
      <c r="G45" s="713"/>
      <c r="H45" s="713"/>
      <c r="I45" s="713"/>
      <c r="J45" s="713"/>
      <c r="K45" s="713"/>
      <c r="L45" s="713"/>
      <c r="M45" s="713">
        <f>'AF-1'!E35-M44</f>
        <v>0</v>
      </c>
      <c r="N45" s="713">
        <f>N44-'AF-1'!G35</f>
        <v>0</v>
      </c>
      <c r="O45" s="748"/>
      <c r="P45" s="748"/>
      <c r="Q45" s="748"/>
    </row>
    <row r="46" spans="1:17" x14ac:dyDescent="0.25">
      <c r="A46" s="775"/>
      <c r="B46" s="700" t="s">
        <v>1196</v>
      </c>
      <c r="C46" s="739"/>
      <c r="D46" s="880"/>
      <c r="E46" s="880"/>
      <c r="F46" s="880"/>
      <c r="G46" s="880"/>
      <c r="H46" s="880"/>
      <c r="I46" s="880"/>
      <c r="J46" s="880"/>
      <c r="K46" s="880"/>
      <c r="L46" s="880"/>
      <c r="M46" s="880"/>
      <c r="N46" s="880"/>
      <c r="O46" s="748"/>
      <c r="P46" s="748"/>
      <c r="Q46" s="748"/>
    </row>
    <row r="47" spans="1:17" x14ac:dyDescent="0.25">
      <c r="A47" s="775"/>
      <c r="B47" s="811" t="s">
        <v>1197</v>
      </c>
      <c r="C47" s="739"/>
      <c r="D47" s="713"/>
      <c r="E47" s="713"/>
      <c r="F47" s="713"/>
      <c r="G47" s="713"/>
      <c r="H47" s="713"/>
      <c r="I47" s="713"/>
      <c r="J47" s="713"/>
      <c r="K47" s="713"/>
      <c r="L47" s="713"/>
      <c r="M47" s="713"/>
      <c r="N47" s="713"/>
      <c r="O47" s="748"/>
      <c r="P47" s="748"/>
      <c r="Q47" s="748"/>
    </row>
    <row r="48" spans="1:17" x14ac:dyDescent="0.25">
      <c r="A48" s="775"/>
      <c r="B48" s="811" t="s">
        <v>1466</v>
      </c>
      <c r="C48" s="740"/>
      <c r="D48" s="740"/>
      <c r="E48" s="740"/>
      <c r="F48" s="713"/>
      <c r="G48" s="713"/>
      <c r="H48" s="713"/>
      <c r="I48" s="713"/>
      <c r="J48" s="713"/>
      <c r="K48" s="713"/>
      <c r="L48" s="713"/>
      <c r="M48" s="713"/>
      <c r="N48" s="713"/>
      <c r="O48" s="798"/>
      <c r="P48" s="748"/>
      <c r="Q48" s="748"/>
    </row>
    <row r="49" spans="1:17" x14ac:dyDescent="0.25">
      <c r="A49" s="775"/>
      <c r="B49" s="811" t="s">
        <v>1198</v>
      </c>
      <c r="C49" s="740"/>
      <c r="D49" s="740"/>
      <c r="E49" s="740"/>
      <c r="F49" s="713"/>
      <c r="G49" s="713"/>
      <c r="H49" s="713"/>
      <c r="I49" s="713"/>
      <c r="J49" s="713"/>
      <c r="K49" s="713"/>
      <c r="L49" s="713"/>
      <c r="M49" s="713"/>
      <c r="N49" s="713"/>
      <c r="O49" s="798"/>
      <c r="P49" s="748"/>
      <c r="Q49" s="748"/>
    </row>
    <row r="50" spans="1:17" x14ac:dyDescent="0.25">
      <c r="A50" s="775"/>
      <c r="B50" s="811" t="s">
        <v>1199</v>
      </c>
      <c r="C50" s="740"/>
      <c r="D50" s="740"/>
      <c r="E50" s="740"/>
      <c r="F50" s="713"/>
      <c r="G50" s="713"/>
      <c r="H50" s="713"/>
      <c r="I50" s="713"/>
      <c r="J50" s="713"/>
      <c r="K50" s="713"/>
      <c r="L50" s="713"/>
      <c r="M50" s="713"/>
      <c r="N50" s="713"/>
      <c r="O50" s="798"/>
      <c r="P50" s="748"/>
      <c r="Q50" s="748"/>
    </row>
    <row r="51" spans="1:17" x14ac:dyDescent="0.25">
      <c r="A51" s="740"/>
      <c r="B51" s="811" t="s">
        <v>1200</v>
      </c>
      <c r="C51" s="740"/>
      <c r="D51" s="740"/>
      <c r="E51" s="740"/>
      <c r="F51" s="740"/>
      <c r="G51" s="740"/>
      <c r="H51" s="740"/>
      <c r="I51" s="740"/>
      <c r="J51" s="740"/>
      <c r="K51" s="740"/>
      <c r="L51" s="740"/>
      <c r="M51" s="740"/>
      <c r="N51" s="740"/>
      <c r="O51" s="748"/>
      <c r="P51" s="748"/>
      <c r="Q51" s="748"/>
    </row>
    <row r="52" spans="1:17" x14ac:dyDescent="0.25">
      <c r="A52" s="740"/>
      <c r="B52" s="811" t="s">
        <v>1201</v>
      </c>
      <c r="C52" s="740"/>
      <c r="D52" s="740"/>
      <c r="E52" s="740"/>
      <c r="F52" s="740"/>
      <c r="G52" s="740"/>
      <c r="H52" s="740"/>
      <c r="I52" s="740"/>
      <c r="J52" s="740"/>
      <c r="K52" s="740"/>
      <c r="L52" s="740"/>
      <c r="M52" s="740"/>
      <c r="N52" s="740"/>
      <c r="O52" s="799"/>
      <c r="P52" s="748"/>
      <c r="Q52" s="748"/>
    </row>
    <row r="53" spans="1:17" x14ac:dyDescent="0.25">
      <c r="A53" s="740"/>
      <c r="B53" s="811" t="s">
        <v>1202</v>
      </c>
      <c r="C53" s="740"/>
      <c r="D53" s="740"/>
      <c r="E53" s="740"/>
      <c r="F53" s="740"/>
      <c r="G53" s="740"/>
      <c r="H53" s="740"/>
      <c r="I53" s="740"/>
      <c r="J53" s="740"/>
      <c r="K53" s="740"/>
      <c r="L53" s="740"/>
      <c r="M53" s="740"/>
      <c r="N53" s="740"/>
      <c r="O53" s="798"/>
      <c r="P53" s="748"/>
      <c r="Q53" s="748"/>
    </row>
    <row r="54" spans="1:17" x14ac:dyDescent="0.25">
      <c r="A54" s="742"/>
      <c r="B54" s="811" t="s">
        <v>1203</v>
      </c>
      <c r="C54" s="742"/>
      <c r="D54" s="742"/>
      <c r="E54" s="742"/>
      <c r="F54" s="742"/>
      <c r="G54" s="742"/>
      <c r="H54" s="742"/>
      <c r="I54" s="742"/>
      <c r="J54" s="742"/>
      <c r="K54" s="742"/>
      <c r="L54" s="742"/>
      <c r="M54" s="742"/>
      <c r="N54" s="742"/>
    </row>
    <row r="55" spans="1:17" x14ac:dyDescent="0.25">
      <c r="A55" s="742"/>
      <c r="B55" s="811" t="s">
        <v>1204</v>
      </c>
      <c r="C55" s="742"/>
      <c r="D55" s="742"/>
      <c r="E55" s="742"/>
      <c r="F55" s="742"/>
      <c r="G55" s="742"/>
      <c r="H55" s="742"/>
      <c r="I55" s="742"/>
      <c r="J55" s="742"/>
      <c r="K55" s="742"/>
      <c r="L55" s="742"/>
      <c r="M55" s="742"/>
      <c r="N55" s="742"/>
    </row>
    <row r="56" spans="1:17" x14ac:dyDescent="0.25">
      <c r="A56" s="742"/>
      <c r="B56" s="811" t="s">
        <v>1205</v>
      </c>
      <c r="C56" s="742"/>
      <c r="D56" s="742"/>
      <c r="E56" s="742"/>
      <c r="F56" s="742"/>
      <c r="G56" s="742"/>
      <c r="H56" s="742"/>
      <c r="I56" s="742"/>
      <c r="J56" s="742"/>
      <c r="K56" s="742"/>
      <c r="L56" s="742"/>
      <c r="M56" s="742"/>
      <c r="N56" s="742"/>
    </row>
    <row r="57" spans="1:17" x14ac:dyDescent="0.25">
      <c r="A57" s="742"/>
      <c r="B57" s="811"/>
      <c r="C57" s="742"/>
      <c r="D57" s="742"/>
      <c r="E57" s="742"/>
      <c r="F57" s="742"/>
      <c r="G57" s="742"/>
      <c r="H57" s="742"/>
      <c r="I57" s="742"/>
      <c r="J57" s="742"/>
      <c r="K57" s="742"/>
      <c r="L57" s="742"/>
      <c r="M57" s="742"/>
      <c r="N57" s="742"/>
    </row>
    <row r="58" spans="1:17" x14ac:dyDescent="0.25">
      <c r="A58" s="742"/>
      <c r="B58" s="741"/>
      <c r="C58" s="713"/>
      <c r="D58" s="713"/>
      <c r="E58" s="713"/>
      <c r="F58" s="730"/>
      <c r="G58" s="730"/>
      <c r="H58" s="775" t="s">
        <v>1206</v>
      </c>
      <c r="I58" s="775" t="s">
        <v>1207</v>
      </c>
      <c r="J58" s="775" t="s">
        <v>1208</v>
      </c>
      <c r="K58" s="775" t="s">
        <v>1209</v>
      </c>
      <c r="L58" s="775" t="s">
        <v>1210</v>
      </c>
      <c r="M58" s="742"/>
      <c r="N58" s="742"/>
    </row>
    <row r="59" spans="1:17" x14ac:dyDescent="0.25">
      <c r="A59" s="742"/>
      <c r="B59" s="741"/>
      <c r="C59" s="713"/>
      <c r="D59" s="713"/>
      <c r="E59" s="713"/>
      <c r="F59" s="730"/>
      <c r="G59" s="730"/>
      <c r="H59" s="765" t="s">
        <v>1148</v>
      </c>
      <c r="I59" s="765" t="s">
        <v>1149</v>
      </c>
      <c r="J59" s="730"/>
      <c r="M59" s="742"/>
      <c r="N59" s="742"/>
    </row>
    <row r="60" spans="1:17" ht="39" x14ac:dyDescent="0.25">
      <c r="A60" s="742"/>
      <c r="B60" s="812" t="s">
        <v>1211</v>
      </c>
      <c r="C60" s="713"/>
      <c r="D60" s="813" t="s">
        <v>1212</v>
      </c>
      <c r="E60" s="728"/>
      <c r="F60" s="730"/>
      <c r="G60" s="730"/>
      <c r="H60" s="814" t="s">
        <v>1165</v>
      </c>
      <c r="I60" s="814" t="s">
        <v>1166</v>
      </c>
      <c r="J60" s="814" t="s">
        <v>1213</v>
      </c>
      <c r="K60" s="814" t="s">
        <v>1214</v>
      </c>
      <c r="L60" s="814" t="s">
        <v>1215</v>
      </c>
      <c r="M60" s="742"/>
      <c r="N60" s="742"/>
    </row>
    <row r="61" spans="1:17" x14ac:dyDescent="0.25">
      <c r="A61" s="742"/>
      <c r="B61" s="750" t="s">
        <v>1216</v>
      </c>
      <c r="C61" s="815" t="s">
        <v>1129</v>
      </c>
      <c r="D61" s="816">
        <v>0.21</v>
      </c>
      <c r="E61" s="817"/>
      <c r="F61" s="730"/>
      <c r="G61" s="750" t="s">
        <v>1217</v>
      </c>
      <c r="H61" s="713">
        <f>M24</f>
        <v>0</v>
      </c>
      <c r="I61" s="713">
        <f>N24</f>
        <v>0</v>
      </c>
      <c r="J61" s="818">
        <f>D66-1</f>
        <v>0.38857260290711548</v>
      </c>
      <c r="K61" s="713">
        <f>H61*J61</f>
        <v>0</v>
      </c>
      <c r="L61" s="713">
        <f>I61*J61</f>
        <v>0</v>
      </c>
      <c r="M61" s="742"/>
      <c r="N61" s="742"/>
    </row>
    <row r="62" spans="1:17" x14ac:dyDescent="0.25">
      <c r="A62" s="742"/>
      <c r="B62" s="750" t="s">
        <v>1218</v>
      </c>
      <c r="C62" s="815" t="s">
        <v>1131</v>
      </c>
      <c r="D62" s="816">
        <v>8.8400000000000006E-2</v>
      </c>
      <c r="E62" s="817"/>
      <c r="F62" s="730"/>
      <c r="G62" s="750" t="s">
        <v>1219</v>
      </c>
      <c r="H62" s="713">
        <f>M42</f>
        <v>150203.99901241169</v>
      </c>
      <c r="I62" s="713">
        <f>N42</f>
        <v>-396857.18917857157</v>
      </c>
      <c r="J62" s="818">
        <f>D66-1</f>
        <v>0.38857260290711548</v>
      </c>
      <c r="K62" s="713">
        <f>H62*J62</f>
        <v>58365.158863310615</v>
      </c>
      <c r="L62" s="713">
        <f>I62*J62</f>
        <v>-154207.8309815191</v>
      </c>
      <c r="M62" s="742"/>
      <c r="N62" s="742"/>
    </row>
    <row r="63" spans="1:17" x14ac:dyDescent="0.25">
      <c r="A63" s="742"/>
      <c r="B63" s="750" t="s">
        <v>1220</v>
      </c>
      <c r="C63" s="815" t="s">
        <v>1221</v>
      </c>
      <c r="D63" s="820">
        <f>-D62*D61</f>
        <v>-1.8564000000000001E-2</v>
      </c>
      <c r="E63" s="817"/>
      <c r="F63" s="817"/>
      <c r="G63" s="742"/>
      <c r="H63" s="742"/>
      <c r="I63" s="742"/>
      <c r="J63" s="742"/>
      <c r="K63" s="742"/>
      <c r="L63" s="742"/>
      <c r="M63" s="742"/>
      <c r="N63" s="742"/>
    </row>
    <row r="64" spans="1:17" x14ac:dyDescent="0.25">
      <c r="B64" s="750" t="s">
        <v>1222</v>
      </c>
      <c r="C64" s="815" t="s">
        <v>1223</v>
      </c>
      <c r="D64" s="821">
        <f>SUM(D61:D63)</f>
        <v>0.27983599999999997</v>
      </c>
      <c r="E64" s="819"/>
      <c r="F64" s="817"/>
    </row>
    <row r="65" spans="2:6" x14ac:dyDescent="0.25">
      <c r="B65" s="750" t="s">
        <v>1224</v>
      </c>
      <c r="C65" s="815" t="s">
        <v>1225</v>
      </c>
      <c r="D65" s="821">
        <f>1-D64</f>
        <v>0.72016400000000003</v>
      </c>
      <c r="E65" s="819"/>
      <c r="F65" s="817"/>
    </row>
    <row r="66" spans="2:6" x14ac:dyDescent="0.25">
      <c r="B66" s="750" t="s">
        <v>1213</v>
      </c>
      <c r="C66" s="815" t="s">
        <v>1226</v>
      </c>
      <c r="D66" s="822">
        <f>1/D65</f>
        <v>1.3885726029071155</v>
      </c>
      <c r="E66" s="818"/>
      <c r="F66" s="818"/>
    </row>
    <row r="67" spans="2:6" x14ac:dyDescent="0.25">
      <c r="B67" s="740"/>
      <c r="C67" s="750"/>
      <c r="D67" s="776"/>
      <c r="E67" s="776"/>
    </row>
    <row r="68" spans="2:6" x14ac:dyDescent="0.25">
      <c r="B68" s="741"/>
      <c r="C68" s="740"/>
      <c r="D68" s="740"/>
      <c r="E68" s="740"/>
    </row>
  </sheetData>
  <mergeCells count="1">
    <mergeCell ref="B5:O5"/>
  </mergeCells>
  <printOptions horizontalCentered="1"/>
  <pageMargins left="0.25" right="0.25" top="0.5" bottom="0.5" header="0.25" footer="0.25"/>
  <pageSetup scale="48" orientation="landscape" r:id="rId1"/>
  <headerFooter scaleWithDoc="0">
    <oddFooter>&amp;C&amp;"Times New Roman,Regular"&amp;10&amp;A</oddFooter>
  </headerFooter>
  <customProperties>
    <customPr name="_pios_id" r:id="rId2"/>
  </customPropertie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BA1CE-4888-42B0-BAE8-3C4FF479897B}">
  <sheetPr>
    <pageSetUpPr fitToPage="1"/>
  </sheetPr>
  <dimension ref="A1:N97"/>
  <sheetViews>
    <sheetView topLeftCell="A25" zoomScale="80" zoomScaleNormal="80" workbookViewId="0">
      <selection activeCell="N39" sqref="N39"/>
    </sheetView>
  </sheetViews>
  <sheetFormatPr defaultColWidth="14.5703125" defaultRowHeight="15" x14ac:dyDescent="0.25"/>
  <cols>
    <col min="1" max="1" width="5.7109375" customWidth="1"/>
    <col min="2" max="2" width="48.5703125" customWidth="1"/>
    <col min="3" max="3" width="8.7109375" customWidth="1"/>
    <col min="4" max="9" width="16.5703125" customWidth="1"/>
    <col min="10" max="10" width="45.7109375" customWidth="1"/>
    <col min="11" max="11" width="5.7109375" customWidth="1"/>
    <col min="12" max="12" width="18.7109375" customWidth="1"/>
  </cols>
  <sheetData>
    <row r="1" spans="1:14" ht="15.75" x14ac:dyDescent="0.25">
      <c r="A1" s="684"/>
      <c r="B1" s="685" t="s">
        <v>0</v>
      </c>
      <c r="C1" s="686"/>
      <c r="D1" s="686"/>
      <c r="E1" s="686"/>
      <c r="F1" s="686"/>
      <c r="G1" s="686"/>
      <c r="H1" s="686"/>
      <c r="I1" s="686"/>
      <c r="J1" s="686"/>
      <c r="K1" s="687"/>
    </row>
    <row r="2" spans="1:14" x14ac:dyDescent="0.25">
      <c r="A2" s="687"/>
      <c r="B2" s="685" t="s">
        <v>1227</v>
      </c>
      <c r="C2" s="686"/>
      <c r="D2" s="686"/>
      <c r="E2" s="686"/>
      <c r="F2" s="686"/>
      <c r="G2" s="686"/>
      <c r="H2" s="686"/>
      <c r="I2" s="686"/>
      <c r="J2" s="686"/>
      <c r="K2" s="687"/>
    </row>
    <row r="3" spans="1:14" x14ac:dyDescent="0.25">
      <c r="A3" s="687"/>
      <c r="B3" s="724" t="s">
        <v>1135</v>
      </c>
      <c r="C3" s="686"/>
      <c r="D3" s="686"/>
      <c r="E3" s="686"/>
      <c r="F3" s="686"/>
      <c r="G3" s="686"/>
      <c r="H3" s="686"/>
      <c r="I3" s="686"/>
      <c r="J3" s="686"/>
      <c r="K3" s="687"/>
    </row>
    <row r="4" spans="1:14" x14ac:dyDescent="0.25">
      <c r="A4" s="687"/>
      <c r="B4" s="719" t="s">
        <v>1956</v>
      </c>
      <c r="C4" s="720"/>
      <c r="D4" s="720"/>
      <c r="E4" s="720"/>
      <c r="F4" s="720"/>
      <c r="G4" s="720"/>
      <c r="H4" s="720"/>
      <c r="I4" s="720"/>
      <c r="J4" s="720"/>
      <c r="K4" s="687"/>
    </row>
    <row r="5" spans="1:14" x14ac:dyDescent="0.25">
      <c r="A5" s="687"/>
      <c r="B5" s="1344" t="s">
        <v>4</v>
      </c>
      <c r="C5" s="1344"/>
      <c r="D5" s="1344"/>
      <c r="E5" s="1344"/>
      <c r="F5" s="1344"/>
      <c r="G5" s="1344"/>
      <c r="H5" s="1344"/>
      <c r="I5" s="1344"/>
      <c r="J5" s="1344"/>
      <c r="K5" s="704"/>
      <c r="L5" s="704"/>
      <c r="M5" s="704"/>
      <c r="N5" s="704"/>
    </row>
    <row r="6" spans="1:14" x14ac:dyDescent="0.25">
      <c r="A6" s="687"/>
      <c r="B6" s="685"/>
      <c r="C6" s="686"/>
      <c r="D6" s="686"/>
      <c r="E6" s="686"/>
      <c r="F6" s="686"/>
      <c r="G6" s="686"/>
      <c r="H6" s="686"/>
      <c r="I6" s="686"/>
      <c r="J6" s="686"/>
      <c r="K6" s="687"/>
    </row>
    <row r="7" spans="1:14" x14ac:dyDescent="0.25">
      <c r="A7" s="688"/>
      <c r="B7" s="705"/>
      <c r="C7" s="706"/>
      <c r="D7" s="706"/>
      <c r="E7" s="706"/>
      <c r="F7" s="706"/>
      <c r="G7" s="706"/>
      <c r="H7" s="690" t="s">
        <v>1136</v>
      </c>
      <c r="I7" s="715">
        <v>2024</v>
      </c>
      <c r="J7" s="688"/>
      <c r="K7" s="688"/>
      <c r="L7" s="688"/>
    </row>
    <row r="8" spans="1:14" x14ac:dyDescent="0.25">
      <c r="A8" s="688"/>
      <c r="B8" s="705"/>
      <c r="C8" s="706"/>
      <c r="D8" s="706"/>
      <c r="E8" s="706"/>
      <c r="F8" s="706"/>
      <c r="G8" s="706"/>
      <c r="H8" s="690" t="s">
        <v>1228</v>
      </c>
      <c r="I8" s="716" t="s">
        <v>947</v>
      </c>
      <c r="J8" s="688"/>
      <c r="K8" s="688"/>
      <c r="L8" s="688"/>
    </row>
    <row r="9" spans="1:14" x14ac:dyDescent="0.25">
      <c r="A9" s="688"/>
      <c r="B9" s="689"/>
      <c r="C9" s="689"/>
      <c r="D9" s="689"/>
      <c r="E9" s="689"/>
      <c r="F9" s="689"/>
      <c r="G9" s="689"/>
      <c r="H9" s="702" t="s">
        <v>1229</v>
      </c>
      <c r="I9" s="717"/>
      <c r="J9" s="688"/>
      <c r="K9" s="688"/>
      <c r="L9" s="688"/>
    </row>
    <row r="10" spans="1:14" x14ac:dyDescent="0.25">
      <c r="A10" s="688"/>
      <c r="B10" s="689"/>
      <c r="C10" s="689"/>
      <c r="D10" s="689"/>
      <c r="E10" s="689"/>
      <c r="F10" s="689"/>
      <c r="G10" s="689"/>
      <c r="H10" s="707"/>
      <c r="I10" s="707"/>
      <c r="J10" s="688"/>
      <c r="K10" s="688"/>
      <c r="L10" s="688"/>
    </row>
    <row r="11" spans="1:14" x14ac:dyDescent="0.25">
      <c r="A11" s="691"/>
      <c r="B11" s="692" t="s">
        <v>1137</v>
      </c>
      <c r="C11" s="692" t="s">
        <v>1138</v>
      </c>
      <c r="D11" s="692" t="s">
        <v>1139</v>
      </c>
      <c r="E11" s="692" t="s">
        <v>1140</v>
      </c>
      <c r="F11" s="692" t="s">
        <v>1141</v>
      </c>
      <c r="G11" s="692" t="s">
        <v>1142</v>
      </c>
      <c r="H11" s="692" t="s">
        <v>1143</v>
      </c>
      <c r="I11" s="692" t="s">
        <v>1144</v>
      </c>
      <c r="J11" s="688"/>
      <c r="K11" s="688"/>
      <c r="L11" s="688"/>
    </row>
    <row r="12" spans="1:14" ht="15.75" thickBot="1" x14ac:dyDescent="0.3">
      <c r="A12" s="688"/>
      <c r="B12" s="691"/>
      <c r="C12" s="691"/>
      <c r="D12" s="688"/>
      <c r="E12" s="688"/>
      <c r="F12" s="688"/>
      <c r="G12" s="688"/>
      <c r="H12" s="688"/>
      <c r="I12" s="688"/>
      <c r="J12" s="688"/>
      <c r="K12" s="688"/>
      <c r="L12" s="688"/>
    </row>
    <row r="13" spans="1:14" ht="15.75" thickBot="1" x14ac:dyDescent="0.3">
      <c r="A13" s="688"/>
      <c r="B13" s="691"/>
      <c r="C13" s="691"/>
      <c r="D13" s="1345" t="s">
        <v>1230</v>
      </c>
      <c r="E13" s="1346"/>
      <c r="F13" s="1346"/>
      <c r="G13" s="1346"/>
      <c r="H13" s="1346"/>
      <c r="I13" s="1347"/>
      <c r="J13" s="688"/>
      <c r="K13" s="688"/>
      <c r="L13" s="688"/>
    </row>
    <row r="14" spans="1:14" ht="15.75" thickBot="1" x14ac:dyDescent="0.3">
      <c r="A14" s="688"/>
      <c r="B14" s="691"/>
      <c r="C14" s="691"/>
      <c r="D14" s="800"/>
      <c r="E14" s="800"/>
      <c r="F14" s="801" t="s">
        <v>1231</v>
      </c>
      <c r="G14" s="802" t="s">
        <v>1232</v>
      </c>
      <c r="H14" s="801" t="s">
        <v>1233</v>
      </c>
      <c r="I14" s="801" t="s">
        <v>1234</v>
      </c>
      <c r="J14" s="688"/>
      <c r="K14" s="688"/>
      <c r="L14" s="688"/>
    </row>
    <row r="15" spans="1:14" ht="51.75" thickBot="1" x14ac:dyDescent="0.3">
      <c r="A15" s="693" t="s">
        <v>1153</v>
      </c>
      <c r="B15" s="796" t="s">
        <v>1154</v>
      </c>
      <c r="C15" s="695" t="s">
        <v>1155</v>
      </c>
      <c r="D15" s="803" t="s">
        <v>1235</v>
      </c>
      <c r="E15" s="803" t="s">
        <v>1236</v>
      </c>
      <c r="F15" s="803" t="s">
        <v>1237</v>
      </c>
      <c r="G15" s="803" t="s">
        <v>1238</v>
      </c>
      <c r="H15" s="803" t="s">
        <v>1239</v>
      </c>
      <c r="I15" s="803" t="s">
        <v>1240</v>
      </c>
      <c r="J15" s="694" t="s">
        <v>8</v>
      </c>
      <c r="K15" s="693" t="s">
        <v>1153</v>
      </c>
      <c r="L15" s="708"/>
    </row>
    <row r="16" spans="1:14" x14ac:dyDescent="0.25">
      <c r="A16" s="696">
        <v>1</v>
      </c>
      <c r="B16" s="713" t="s">
        <v>1167</v>
      </c>
      <c r="C16" s="697"/>
      <c r="D16" s="699"/>
      <c r="E16" s="688"/>
      <c r="F16" s="688"/>
      <c r="G16" s="688"/>
      <c r="H16" s="688"/>
      <c r="I16" s="688"/>
      <c r="J16" s="688"/>
      <c r="K16" s="696">
        <v>1</v>
      </c>
      <c r="L16" s="708"/>
    </row>
    <row r="17" spans="1:12" x14ac:dyDescent="0.25">
      <c r="A17" s="696">
        <f t="shared" ref="A17:A47" si="0">+A16+1</f>
        <v>2</v>
      </c>
      <c r="B17" s="713" t="s">
        <v>1168</v>
      </c>
      <c r="C17" s="696"/>
      <c r="D17" s="688"/>
      <c r="E17" s="688"/>
      <c r="F17" s="688"/>
      <c r="G17" s="688"/>
      <c r="H17" s="688"/>
      <c r="I17" s="688"/>
      <c r="J17" s="691"/>
      <c r="K17" s="696">
        <f t="shared" ref="K17:K47" si="1">+K16+1</f>
        <v>2</v>
      </c>
      <c r="L17" s="708"/>
    </row>
    <row r="18" spans="1:12" x14ac:dyDescent="0.25">
      <c r="A18" s="696">
        <f t="shared" si="0"/>
        <v>3</v>
      </c>
      <c r="B18" s="713" t="s">
        <v>1169</v>
      </c>
      <c r="C18" s="696">
        <v>190</v>
      </c>
      <c r="D18" s="714"/>
      <c r="E18" s="714"/>
      <c r="F18" s="688">
        <f>+D18*$I$9</f>
        <v>0</v>
      </c>
      <c r="G18" s="688">
        <f>+E18-F18</f>
        <v>0</v>
      </c>
      <c r="H18" s="688">
        <f>IF(+$I$8="No",0,'Order 864-1'!K15)</f>
        <v>0</v>
      </c>
      <c r="I18" s="688">
        <f t="shared" ref="I18:I20" si="2">+G18-H18</f>
        <v>0</v>
      </c>
      <c r="J18" s="691" t="s">
        <v>263</v>
      </c>
      <c r="K18" s="696">
        <f t="shared" si="1"/>
        <v>3</v>
      </c>
      <c r="L18" s="708"/>
    </row>
    <row r="19" spans="1:12" x14ac:dyDescent="0.25">
      <c r="A19" s="696">
        <f t="shared" si="0"/>
        <v>4</v>
      </c>
      <c r="B19" s="713" t="s">
        <v>1170</v>
      </c>
      <c r="C19" s="696">
        <v>190</v>
      </c>
      <c r="D19" s="714"/>
      <c r="E19" s="714"/>
      <c r="F19" s="688">
        <f>+D19*$I$9</f>
        <v>0</v>
      </c>
      <c r="G19" s="688">
        <f>+E19-F19</f>
        <v>0</v>
      </c>
      <c r="H19" s="688">
        <f>IF(+$I$8="No",0,'Order 864-1'!K16)</f>
        <v>0</v>
      </c>
      <c r="I19" s="688">
        <f t="shared" si="2"/>
        <v>0</v>
      </c>
      <c r="J19" s="691" t="s">
        <v>263</v>
      </c>
      <c r="K19" s="696">
        <f t="shared" si="1"/>
        <v>4</v>
      </c>
      <c r="L19" s="708"/>
    </row>
    <row r="20" spans="1:12" x14ac:dyDescent="0.25">
      <c r="A20" s="696">
        <f t="shared" si="0"/>
        <v>5</v>
      </c>
      <c r="B20" s="713" t="s">
        <v>1171</v>
      </c>
      <c r="C20" s="696">
        <v>190</v>
      </c>
      <c r="D20" s="714"/>
      <c r="E20" s="714"/>
      <c r="F20" s="688">
        <f>+D20*$I$9</f>
        <v>0</v>
      </c>
      <c r="G20" s="688">
        <f>+E20-F20</f>
        <v>0</v>
      </c>
      <c r="H20" s="688">
        <f>IF(+$I$8="No",0,'Order 864-1'!K17)</f>
        <v>0</v>
      </c>
      <c r="I20" s="688">
        <f t="shared" si="2"/>
        <v>0</v>
      </c>
      <c r="J20" s="691" t="s">
        <v>263</v>
      </c>
      <c r="K20" s="696">
        <f t="shared" si="1"/>
        <v>5</v>
      </c>
      <c r="L20" s="708"/>
    </row>
    <row r="21" spans="1:12" x14ac:dyDescent="0.25">
      <c r="A21" s="696">
        <f t="shared" si="0"/>
        <v>6</v>
      </c>
      <c r="B21" s="713" t="s">
        <v>1172</v>
      </c>
      <c r="C21" s="696"/>
      <c r="D21" s="714"/>
      <c r="E21" s="714"/>
      <c r="F21" s="688"/>
      <c r="G21" s="688"/>
      <c r="H21" s="688"/>
      <c r="I21" s="688"/>
      <c r="J21" s="691"/>
      <c r="K21" s="696">
        <f t="shared" si="1"/>
        <v>6</v>
      </c>
      <c r="L21" s="708"/>
    </row>
    <row r="22" spans="1:12" x14ac:dyDescent="0.25">
      <c r="A22" s="696">
        <f t="shared" si="0"/>
        <v>7</v>
      </c>
      <c r="B22" s="713" t="s">
        <v>1173</v>
      </c>
      <c r="C22" s="696">
        <v>190</v>
      </c>
      <c r="D22" s="714"/>
      <c r="E22" s="714"/>
      <c r="F22" s="688">
        <f>+D22*$I$9</f>
        <v>0</v>
      </c>
      <c r="G22" s="688">
        <f>+E22-F22</f>
        <v>0</v>
      </c>
      <c r="H22" s="688">
        <f>IF(+$I$8="No",0,'Order 864-1'!K19)</f>
        <v>0</v>
      </c>
      <c r="I22" s="688">
        <f t="shared" ref="I22" si="3">+G22-H22</f>
        <v>0</v>
      </c>
      <c r="J22" s="691" t="s">
        <v>263</v>
      </c>
      <c r="K22" s="696">
        <f t="shared" si="1"/>
        <v>7</v>
      </c>
      <c r="L22" s="708"/>
    </row>
    <row r="23" spans="1:12" x14ac:dyDescent="0.25">
      <c r="A23" s="696">
        <f t="shared" si="0"/>
        <v>8</v>
      </c>
      <c r="B23" s="713" t="s">
        <v>1174</v>
      </c>
      <c r="C23" s="696"/>
      <c r="D23" s="718"/>
      <c r="E23" s="718"/>
      <c r="F23" s="688"/>
      <c r="G23" s="688"/>
      <c r="H23" s="688"/>
      <c r="I23" s="688"/>
      <c r="J23" s="691"/>
      <c r="K23" s="696">
        <f t="shared" si="1"/>
        <v>8</v>
      </c>
      <c r="L23" s="708"/>
    </row>
    <row r="24" spans="1:12" x14ac:dyDescent="0.25">
      <c r="A24" s="696">
        <f t="shared" si="0"/>
        <v>9</v>
      </c>
      <c r="B24" s="713" t="s">
        <v>1175</v>
      </c>
      <c r="C24" s="696">
        <v>283</v>
      </c>
      <c r="D24" s="718"/>
      <c r="E24" s="718"/>
      <c r="F24" s="688">
        <f>+D24*$I$9</f>
        <v>0</v>
      </c>
      <c r="G24" s="688">
        <f>+E24-F24</f>
        <v>0</v>
      </c>
      <c r="H24" s="688">
        <f>IF(+$I$8="No",0,'Order 864-1'!K21)</f>
        <v>0</v>
      </c>
      <c r="I24" s="688">
        <f t="shared" ref="I24:I25" si="4">+G24-H24</f>
        <v>0</v>
      </c>
      <c r="J24" s="691" t="s">
        <v>263</v>
      </c>
      <c r="K24" s="696">
        <f t="shared" si="1"/>
        <v>9</v>
      </c>
      <c r="L24" s="708"/>
    </row>
    <row r="25" spans="1:12" x14ac:dyDescent="0.25">
      <c r="A25" s="696">
        <f t="shared" si="0"/>
        <v>10</v>
      </c>
      <c r="B25" s="713" t="s">
        <v>1176</v>
      </c>
      <c r="C25" s="696">
        <v>283</v>
      </c>
      <c r="D25" s="718"/>
      <c r="E25" s="718"/>
      <c r="F25" s="688">
        <f>+D25*$I$9</f>
        <v>0</v>
      </c>
      <c r="G25" s="688">
        <f>+E25-F25</f>
        <v>0</v>
      </c>
      <c r="H25" s="688">
        <f>IF(+$I$8="No",0,'Order 864-1'!K22)</f>
        <v>0</v>
      </c>
      <c r="I25" s="688">
        <f t="shared" si="4"/>
        <v>0</v>
      </c>
      <c r="J25" s="691" t="s">
        <v>263</v>
      </c>
      <c r="K25" s="696">
        <f t="shared" si="1"/>
        <v>10</v>
      </c>
      <c r="L25" s="708"/>
    </row>
    <row r="26" spans="1:12" x14ac:dyDescent="0.25">
      <c r="A26" s="696">
        <f t="shared" si="0"/>
        <v>11</v>
      </c>
      <c r="B26" s="729"/>
      <c r="C26" s="743"/>
      <c r="D26" s="710"/>
      <c r="E26" s="710"/>
      <c r="F26" s="710"/>
      <c r="G26" s="710"/>
      <c r="H26" s="710"/>
      <c r="I26" s="710"/>
      <c r="J26" s="713"/>
      <c r="K26" s="696">
        <f t="shared" si="1"/>
        <v>11</v>
      </c>
      <c r="L26" s="743"/>
    </row>
    <row r="27" spans="1:12" ht="15.75" thickBot="1" x14ac:dyDescent="0.3">
      <c r="A27" s="696">
        <f t="shared" si="0"/>
        <v>12</v>
      </c>
      <c r="B27" s="729" t="s">
        <v>1177</v>
      </c>
      <c r="C27" s="713"/>
      <c r="D27" s="711">
        <f>SUM(D17:D25)</f>
        <v>0</v>
      </c>
      <c r="E27" s="711">
        <f t="shared" ref="E27:I27" si="5">SUM(E17:E25)</f>
        <v>0</v>
      </c>
      <c r="F27" s="711">
        <f t="shared" si="5"/>
        <v>0</v>
      </c>
      <c r="G27" s="711">
        <f t="shared" si="5"/>
        <v>0</v>
      </c>
      <c r="H27" s="711">
        <f t="shared" si="5"/>
        <v>0</v>
      </c>
      <c r="I27" s="711">
        <f t="shared" si="5"/>
        <v>0</v>
      </c>
      <c r="J27" s="729" t="s">
        <v>1178</v>
      </c>
      <c r="K27" s="696">
        <f t="shared" si="1"/>
        <v>12</v>
      </c>
      <c r="L27" s="743"/>
    </row>
    <row r="28" spans="1:12" ht="15.75" thickTop="1" x14ac:dyDescent="0.25">
      <c r="A28" s="696">
        <f t="shared" si="0"/>
        <v>13</v>
      </c>
      <c r="B28" s="744"/>
      <c r="C28" s="745"/>
      <c r="D28" s="712"/>
      <c r="E28" s="712"/>
      <c r="F28" s="712"/>
      <c r="G28" s="712"/>
      <c r="H28" s="712"/>
      <c r="I28" s="712"/>
      <c r="J28" s="713"/>
      <c r="K28" s="696">
        <f t="shared" si="1"/>
        <v>13</v>
      </c>
      <c r="L28" s="743"/>
    </row>
    <row r="29" spans="1:12" x14ac:dyDescent="0.25">
      <c r="A29" s="696">
        <f t="shared" si="0"/>
        <v>14</v>
      </c>
      <c r="B29" s="713" t="s">
        <v>1179</v>
      </c>
      <c r="C29" s="734"/>
      <c r="D29" s="713"/>
      <c r="E29" s="713"/>
      <c r="F29" s="713"/>
      <c r="G29" s="713"/>
      <c r="H29" s="713"/>
      <c r="I29" s="713"/>
      <c r="J29" s="713"/>
      <c r="K29" s="696">
        <f t="shared" si="1"/>
        <v>14</v>
      </c>
      <c r="L29" s="728"/>
    </row>
    <row r="30" spans="1:12" x14ac:dyDescent="0.25">
      <c r="A30" s="696">
        <f t="shared" si="0"/>
        <v>15</v>
      </c>
      <c r="B30" s="713" t="s">
        <v>1180</v>
      </c>
      <c r="C30" s="728">
        <v>190</v>
      </c>
      <c r="D30" s="718"/>
      <c r="E30" s="718"/>
      <c r="F30" s="713">
        <f>+D30*$I$9</f>
        <v>0</v>
      </c>
      <c r="G30" s="713">
        <f>+E30-F30</f>
        <v>0</v>
      </c>
      <c r="H30" s="713">
        <f>IF(+$I$8="No",0,'Order 864-1'!K27)</f>
        <v>0</v>
      </c>
      <c r="I30" s="713">
        <f>+G30-H30</f>
        <v>0</v>
      </c>
      <c r="J30" s="729" t="s">
        <v>263</v>
      </c>
      <c r="K30" s="696">
        <f t="shared" si="1"/>
        <v>15</v>
      </c>
      <c r="L30" s="728"/>
    </row>
    <row r="31" spans="1:12" x14ac:dyDescent="0.25">
      <c r="A31" s="696">
        <f t="shared" si="0"/>
        <v>16</v>
      </c>
      <c r="B31" s="713" t="s">
        <v>1181</v>
      </c>
      <c r="C31" s="728"/>
      <c r="D31" s="718"/>
      <c r="E31" s="718"/>
      <c r="F31" s="713"/>
      <c r="G31" s="713"/>
      <c r="H31" s="713"/>
      <c r="I31" s="713"/>
      <c r="J31" s="729"/>
      <c r="K31" s="696">
        <f t="shared" si="1"/>
        <v>16</v>
      </c>
      <c r="L31" s="728"/>
    </row>
    <row r="32" spans="1:12" x14ac:dyDescent="0.25">
      <c r="A32" s="696">
        <f t="shared" si="0"/>
        <v>17</v>
      </c>
      <c r="B32" s="713" t="s">
        <v>1182</v>
      </c>
      <c r="C32" s="728">
        <v>282</v>
      </c>
      <c r="D32" s="718"/>
      <c r="E32" s="718"/>
      <c r="F32" s="713">
        <f t="shared" ref="F32:F33" si="6">+D32*$I$9</f>
        <v>0</v>
      </c>
      <c r="G32" s="713">
        <f t="shared" ref="G32:G33" si="7">+E32-F32</f>
        <v>0</v>
      </c>
      <c r="H32" s="713">
        <f>IF(+$I$8="No",0,'Order 864-1'!K29)</f>
        <v>0</v>
      </c>
      <c r="I32" s="713">
        <f t="shared" ref="I32:I33" si="8">+G32-H32</f>
        <v>0</v>
      </c>
      <c r="J32" s="729" t="s">
        <v>263</v>
      </c>
      <c r="K32" s="696">
        <f t="shared" si="1"/>
        <v>17</v>
      </c>
      <c r="L32" s="728"/>
    </row>
    <row r="33" spans="1:12" x14ac:dyDescent="0.25">
      <c r="A33" s="696">
        <f t="shared" si="0"/>
        <v>18</v>
      </c>
      <c r="B33" s="713" t="s">
        <v>1183</v>
      </c>
      <c r="C33" s="728">
        <v>282</v>
      </c>
      <c r="D33" s="718"/>
      <c r="E33" s="718"/>
      <c r="F33" s="713">
        <f t="shared" si="6"/>
        <v>0</v>
      </c>
      <c r="G33" s="713">
        <f t="shared" si="7"/>
        <v>0</v>
      </c>
      <c r="H33" s="713">
        <f>IF(+$I$8="No",0,'Order 864-1'!K30)</f>
        <v>0</v>
      </c>
      <c r="I33" s="713">
        <f t="shared" si="8"/>
        <v>0</v>
      </c>
      <c r="J33" s="729" t="s">
        <v>263</v>
      </c>
      <c r="K33" s="696">
        <f t="shared" si="1"/>
        <v>18</v>
      </c>
      <c r="L33" s="728"/>
    </row>
    <row r="34" spans="1:12" x14ac:dyDescent="0.25">
      <c r="A34" s="696">
        <f t="shared" si="0"/>
        <v>19</v>
      </c>
      <c r="B34" s="729" t="s">
        <v>1184</v>
      </c>
      <c r="C34" s="730"/>
      <c r="D34" s="721">
        <f t="shared" ref="D34:I34" si="9">SUM(D30:D33)</f>
        <v>0</v>
      </c>
      <c r="E34" s="721">
        <f t="shared" si="9"/>
        <v>0</v>
      </c>
      <c r="F34" s="721">
        <f t="shared" si="9"/>
        <v>0</v>
      </c>
      <c r="G34" s="721">
        <f t="shared" si="9"/>
        <v>0</v>
      </c>
      <c r="H34" s="721">
        <f t="shared" si="9"/>
        <v>0</v>
      </c>
      <c r="I34" s="721">
        <f t="shared" si="9"/>
        <v>0</v>
      </c>
      <c r="J34" s="729" t="s">
        <v>1185</v>
      </c>
      <c r="K34" s="696">
        <f t="shared" si="1"/>
        <v>19</v>
      </c>
      <c r="L34" s="728"/>
    </row>
    <row r="35" spans="1:12" x14ac:dyDescent="0.25">
      <c r="A35" s="696">
        <f t="shared" si="0"/>
        <v>20</v>
      </c>
      <c r="B35" s="713"/>
      <c r="C35" s="730"/>
      <c r="D35" s="713"/>
      <c r="E35" s="713"/>
      <c r="F35" s="713"/>
      <c r="G35" s="713"/>
      <c r="H35" s="713"/>
      <c r="I35" s="713"/>
      <c r="J35" s="713"/>
      <c r="K35" s="696">
        <f t="shared" si="1"/>
        <v>20</v>
      </c>
      <c r="L35" s="728"/>
    </row>
    <row r="36" spans="1:12" x14ac:dyDescent="0.25">
      <c r="A36" s="696">
        <f t="shared" si="0"/>
        <v>21</v>
      </c>
      <c r="B36" s="713" t="s">
        <v>1186</v>
      </c>
      <c r="C36" s="735"/>
      <c r="D36" s="713"/>
      <c r="E36" s="713"/>
      <c r="F36" s="713"/>
      <c r="G36" s="713"/>
      <c r="H36" s="713"/>
      <c r="I36" s="713"/>
      <c r="J36" s="713"/>
      <c r="K36" s="696">
        <f t="shared" si="1"/>
        <v>21</v>
      </c>
      <c r="L36" s="728"/>
    </row>
    <row r="37" spans="1:12" x14ac:dyDescent="0.25">
      <c r="A37" s="696">
        <f t="shared" si="0"/>
        <v>22</v>
      </c>
      <c r="B37" s="713" t="s">
        <v>1187</v>
      </c>
      <c r="C37" s="728">
        <v>282</v>
      </c>
      <c r="D37" s="718"/>
      <c r="E37" s="718"/>
      <c r="F37" s="713">
        <f t="shared" ref="F37:F39" si="10">+D37*$I$9</f>
        <v>0</v>
      </c>
      <c r="G37" s="713">
        <f t="shared" ref="G37:G39" si="11">+E37-F37</f>
        <v>0</v>
      </c>
      <c r="H37" s="713">
        <f>IF(+$I$8="No",0,'Order 864-1'!K34)</f>
        <v>0</v>
      </c>
      <c r="I37" s="713">
        <f t="shared" ref="I37:I39" si="12">+G37-H37</f>
        <v>0</v>
      </c>
      <c r="J37" s="729" t="s">
        <v>263</v>
      </c>
      <c r="K37" s="696">
        <f t="shared" si="1"/>
        <v>22</v>
      </c>
      <c r="L37" s="728"/>
    </row>
    <row r="38" spans="1:12" x14ac:dyDescent="0.25">
      <c r="A38" s="696">
        <f t="shared" si="0"/>
        <v>23</v>
      </c>
      <c r="B38" s="713" t="s">
        <v>1188</v>
      </c>
      <c r="C38" s="728">
        <v>282</v>
      </c>
      <c r="D38" s="718"/>
      <c r="E38" s="718"/>
      <c r="F38" s="713">
        <f t="shared" si="10"/>
        <v>0</v>
      </c>
      <c r="G38" s="713">
        <f t="shared" si="11"/>
        <v>0</v>
      </c>
      <c r="H38" s="713">
        <f>IF(+$I$8="No",0,'Order 864-1'!K35)</f>
        <v>0</v>
      </c>
      <c r="I38" s="713">
        <f t="shared" si="12"/>
        <v>0</v>
      </c>
      <c r="J38" s="729" t="s">
        <v>263</v>
      </c>
      <c r="K38" s="696">
        <f t="shared" si="1"/>
        <v>23</v>
      </c>
      <c r="L38" s="728"/>
    </row>
    <row r="39" spans="1:12" x14ac:dyDescent="0.25">
      <c r="A39" s="696">
        <f t="shared" si="0"/>
        <v>24</v>
      </c>
      <c r="B39" s="713" t="s">
        <v>1189</v>
      </c>
      <c r="C39" s="736">
        <v>282</v>
      </c>
      <c r="D39" s="718"/>
      <c r="E39" s="718"/>
      <c r="F39" s="713">
        <f t="shared" si="10"/>
        <v>0</v>
      </c>
      <c r="G39" s="713">
        <f t="shared" si="11"/>
        <v>0</v>
      </c>
      <c r="H39" s="713">
        <f>IF(+$I$8="No",0,'Order 864-1'!K36)</f>
        <v>0</v>
      </c>
      <c r="I39" s="713">
        <f t="shared" si="12"/>
        <v>0</v>
      </c>
      <c r="J39" s="729" t="s">
        <v>263</v>
      </c>
      <c r="K39" s="696">
        <f t="shared" si="1"/>
        <v>24</v>
      </c>
      <c r="L39" s="728"/>
    </row>
    <row r="40" spans="1:12" x14ac:dyDescent="0.25">
      <c r="A40" s="696">
        <f t="shared" si="0"/>
        <v>25</v>
      </c>
      <c r="B40" s="729" t="s">
        <v>1184</v>
      </c>
      <c r="C40" s="730"/>
      <c r="D40" s="721">
        <f t="shared" ref="D40:I40" si="13">SUM(D37:D39)</f>
        <v>0</v>
      </c>
      <c r="E40" s="721">
        <f t="shared" si="13"/>
        <v>0</v>
      </c>
      <c r="F40" s="721">
        <f t="shared" si="13"/>
        <v>0</v>
      </c>
      <c r="G40" s="721">
        <f t="shared" si="13"/>
        <v>0</v>
      </c>
      <c r="H40" s="721">
        <f t="shared" si="13"/>
        <v>0</v>
      </c>
      <c r="I40" s="721">
        <f t="shared" si="13"/>
        <v>0</v>
      </c>
      <c r="J40" s="729" t="s">
        <v>1190</v>
      </c>
      <c r="K40" s="696">
        <f t="shared" si="1"/>
        <v>25</v>
      </c>
      <c r="L40" s="728"/>
    </row>
    <row r="41" spans="1:12" x14ac:dyDescent="0.25">
      <c r="A41" s="696">
        <f t="shared" si="0"/>
        <v>26</v>
      </c>
      <c r="B41" s="713"/>
      <c r="C41" s="730"/>
      <c r="D41" s="737"/>
      <c r="E41" s="731"/>
      <c r="F41" s="737"/>
      <c r="G41" s="737"/>
      <c r="H41" s="737"/>
      <c r="I41" s="737"/>
      <c r="J41" s="713"/>
      <c r="K41" s="696">
        <f t="shared" si="1"/>
        <v>26</v>
      </c>
      <c r="L41" s="728"/>
    </row>
    <row r="42" spans="1:12" x14ac:dyDescent="0.25">
      <c r="A42" s="696">
        <f t="shared" si="0"/>
        <v>27</v>
      </c>
      <c r="B42" s="713" t="s">
        <v>1186</v>
      </c>
      <c r="C42" s="730"/>
      <c r="D42" s="730"/>
      <c r="E42" s="733"/>
      <c r="F42" s="730"/>
      <c r="G42" s="730"/>
      <c r="H42" s="730"/>
      <c r="I42" s="730"/>
      <c r="J42" s="713"/>
      <c r="K42" s="696">
        <f t="shared" si="1"/>
        <v>27</v>
      </c>
      <c r="L42" s="728"/>
    </row>
    <row r="43" spans="1:12" x14ac:dyDescent="0.25">
      <c r="A43" s="696">
        <f t="shared" si="0"/>
        <v>28</v>
      </c>
      <c r="B43" s="713" t="s">
        <v>1191</v>
      </c>
      <c r="C43" s="736">
        <v>282</v>
      </c>
      <c r="D43" s="746"/>
      <c r="E43" s="746"/>
      <c r="F43" s="747">
        <f>+D43*$I$9</f>
        <v>0</v>
      </c>
      <c r="G43" s="747">
        <f>+E43-F43</f>
        <v>0</v>
      </c>
      <c r="H43" s="747">
        <f>IF(+$I$8="No",0,'Order 864-1'!K40)</f>
        <v>0</v>
      </c>
      <c r="I43" s="747">
        <f>+G43-H43</f>
        <v>0</v>
      </c>
      <c r="J43" s="729" t="s">
        <v>263</v>
      </c>
      <c r="K43" s="696">
        <f t="shared" si="1"/>
        <v>28</v>
      </c>
      <c r="L43" s="728"/>
    </row>
    <row r="44" spans="1:12" x14ac:dyDescent="0.25">
      <c r="A44" s="696">
        <f t="shared" si="0"/>
        <v>29</v>
      </c>
      <c r="B44" s="713"/>
      <c r="C44" s="730"/>
      <c r="D44" s="737"/>
      <c r="E44" s="737"/>
      <c r="F44" s="737"/>
      <c r="G44" s="737"/>
      <c r="H44" s="737"/>
      <c r="I44" s="737"/>
      <c r="J44" s="713"/>
      <c r="K44" s="696">
        <f t="shared" si="1"/>
        <v>29</v>
      </c>
      <c r="L44" s="728"/>
    </row>
    <row r="45" spans="1:12" ht="15.75" thickBot="1" x14ac:dyDescent="0.3">
      <c r="A45" s="696">
        <f t="shared" si="0"/>
        <v>30</v>
      </c>
      <c r="B45" s="729" t="s">
        <v>1192</v>
      </c>
      <c r="C45" s="730"/>
      <c r="D45" s="711">
        <f t="shared" ref="D45:I45" si="14">+D43+D40+D34</f>
        <v>0</v>
      </c>
      <c r="E45" s="711">
        <f t="shared" si="14"/>
        <v>0</v>
      </c>
      <c r="F45" s="711">
        <f t="shared" si="14"/>
        <v>0</v>
      </c>
      <c r="G45" s="711">
        <f t="shared" si="14"/>
        <v>0</v>
      </c>
      <c r="H45" s="711">
        <f t="shared" si="14"/>
        <v>0</v>
      </c>
      <c r="I45" s="711">
        <f t="shared" si="14"/>
        <v>0</v>
      </c>
      <c r="J45" s="797" t="s">
        <v>1193</v>
      </c>
      <c r="K45" s="696">
        <f t="shared" si="1"/>
        <v>30</v>
      </c>
      <c r="L45" s="728"/>
    </row>
    <row r="46" spans="1:12" ht="15.75" thickTop="1" x14ac:dyDescent="0.25">
      <c r="A46" s="696">
        <f t="shared" si="0"/>
        <v>31</v>
      </c>
      <c r="B46" s="713"/>
      <c r="C46" s="730"/>
      <c r="D46" s="738"/>
      <c r="E46" s="738"/>
      <c r="F46" s="738"/>
      <c r="G46" s="738"/>
      <c r="H46" s="738"/>
      <c r="I46" s="738"/>
      <c r="J46" s="713"/>
      <c r="K46" s="696">
        <f t="shared" si="1"/>
        <v>31</v>
      </c>
      <c r="L46" s="728"/>
    </row>
    <row r="47" spans="1:12" ht="15.75" thickBot="1" x14ac:dyDescent="0.3">
      <c r="A47" s="696">
        <f t="shared" si="0"/>
        <v>32</v>
      </c>
      <c r="B47" s="729" t="s">
        <v>1194</v>
      </c>
      <c r="C47" s="713"/>
      <c r="D47" s="711">
        <f t="shared" ref="D47:I47" si="15">D45+D27</f>
        <v>0</v>
      </c>
      <c r="E47" s="711">
        <f t="shared" si="15"/>
        <v>0</v>
      </c>
      <c r="F47" s="711">
        <f t="shared" si="15"/>
        <v>0</v>
      </c>
      <c r="G47" s="711">
        <f t="shared" si="15"/>
        <v>0</v>
      </c>
      <c r="H47" s="711">
        <f t="shared" si="15"/>
        <v>0</v>
      </c>
      <c r="I47" s="711">
        <f t="shared" si="15"/>
        <v>0</v>
      </c>
      <c r="J47" s="729" t="s">
        <v>1195</v>
      </c>
      <c r="K47" s="696">
        <f t="shared" si="1"/>
        <v>32</v>
      </c>
      <c r="L47" s="728"/>
    </row>
    <row r="48" spans="1:12" ht="15.75" thickTop="1" x14ac:dyDescent="0.25">
      <c r="A48" s="728"/>
      <c r="B48" s="713"/>
      <c r="C48" s="713"/>
      <c r="D48" s="713"/>
      <c r="E48" s="713"/>
      <c r="F48" s="713"/>
      <c r="G48" s="713"/>
      <c r="H48" s="713"/>
      <c r="I48" s="713"/>
      <c r="J48" s="713"/>
      <c r="K48" s="713"/>
      <c r="L48" s="713"/>
    </row>
    <row r="49" spans="1:12" x14ac:dyDescent="0.25">
      <c r="A49" s="728"/>
      <c r="B49" s="700" t="s">
        <v>1241</v>
      </c>
      <c r="C49" s="713"/>
      <c r="D49" s="713"/>
      <c r="E49" s="713"/>
      <c r="F49" s="713"/>
      <c r="G49" s="713"/>
      <c r="H49" s="713"/>
      <c r="I49" s="713"/>
      <c r="J49" s="713"/>
      <c r="K49" s="713"/>
      <c r="L49" s="713"/>
    </row>
    <row r="50" spans="1:12" ht="16.5" x14ac:dyDescent="0.35">
      <c r="A50" s="728"/>
      <c r="B50" s="741" t="s">
        <v>1242</v>
      </c>
      <c r="C50" s="713"/>
      <c r="D50" s="713"/>
      <c r="E50" s="713"/>
      <c r="F50" s="713"/>
      <c r="G50" s="713"/>
      <c r="H50" s="713"/>
      <c r="I50" s="713"/>
      <c r="J50" s="713"/>
      <c r="K50" s="713"/>
      <c r="L50" s="713"/>
    </row>
    <row r="51" spans="1:12" x14ac:dyDescent="0.25">
      <c r="A51" s="728"/>
      <c r="B51" s="741" t="s">
        <v>1243</v>
      </c>
      <c r="C51" s="713"/>
      <c r="D51" s="713"/>
      <c r="E51" s="713"/>
      <c r="F51" s="713"/>
      <c r="G51" s="713"/>
      <c r="H51" s="713"/>
      <c r="I51" s="713"/>
      <c r="J51" s="713"/>
      <c r="K51" s="713"/>
      <c r="L51" s="713"/>
    </row>
    <row r="52" spans="1:12" x14ac:dyDescent="0.25">
      <c r="A52" s="728"/>
      <c r="B52" s="700" t="s">
        <v>1196</v>
      </c>
      <c r="C52" s="739"/>
      <c r="D52" s="713"/>
      <c r="E52" s="713"/>
      <c r="F52" s="713"/>
      <c r="G52" s="713"/>
      <c r="H52" s="713"/>
      <c r="I52" s="713"/>
      <c r="J52" s="713"/>
      <c r="K52" s="713"/>
      <c r="L52" s="713"/>
    </row>
    <row r="53" spans="1:12" x14ac:dyDescent="0.25">
      <c r="A53" s="728"/>
      <c r="B53" s="811" t="s">
        <v>1197</v>
      </c>
      <c r="C53" s="740"/>
      <c r="D53" s="740"/>
      <c r="E53" s="740"/>
      <c r="F53" s="713"/>
      <c r="G53" s="713"/>
      <c r="H53" s="713"/>
      <c r="I53" s="713"/>
      <c r="J53" s="713"/>
      <c r="K53" s="713"/>
      <c r="L53" s="713"/>
    </row>
    <row r="54" spans="1:12" x14ac:dyDescent="0.25">
      <c r="A54" s="740"/>
      <c r="B54" s="811" t="s">
        <v>1466</v>
      </c>
      <c r="C54" s="740"/>
      <c r="D54" s="740"/>
      <c r="E54" s="740"/>
      <c r="F54" s="740"/>
      <c r="G54" s="740"/>
      <c r="H54" s="740"/>
      <c r="I54" s="740"/>
      <c r="J54" s="713"/>
      <c r="K54" s="713"/>
      <c r="L54" s="713"/>
    </row>
    <row r="55" spans="1:12" x14ac:dyDescent="0.25">
      <c r="A55" s="740"/>
      <c r="B55" s="811" t="s">
        <v>1198</v>
      </c>
      <c r="C55" s="740"/>
      <c r="D55" s="740"/>
      <c r="E55" s="740"/>
      <c r="F55" s="740"/>
      <c r="G55" s="740"/>
      <c r="H55" s="740"/>
      <c r="I55" s="740"/>
      <c r="J55" s="713"/>
      <c r="K55" s="713"/>
      <c r="L55" s="713"/>
    </row>
    <row r="56" spans="1:12" x14ac:dyDescent="0.25">
      <c r="A56" s="740"/>
      <c r="B56" s="811" t="s">
        <v>1199</v>
      </c>
      <c r="C56" s="740"/>
      <c r="D56" s="740"/>
      <c r="E56" s="740"/>
      <c r="F56" s="740"/>
      <c r="G56" s="740"/>
      <c r="H56" s="740"/>
      <c r="I56" s="740"/>
      <c r="J56" s="713"/>
      <c r="K56" s="713"/>
      <c r="L56" s="713"/>
    </row>
    <row r="57" spans="1:12" x14ac:dyDescent="0.25">
      <c r="A57" s="740"/>
      <c r="B57" s="811" t="s">
        <v>1200</v>
      </c>
      <c r="C57" s="740"/>
      <c r="D57" s="740"/>
      <c r="E57" s="740"/>
      <c r="F57" s="740"/>
      <c r="G57" s="740"/>
      <c r="H57" s="740"/>
      <c r="I57" s="740"/>
      <c r="J57" s="713"/>
      <c r="K57" s="713"/>
      <c r="L57" s="713"/>
    </row>
    <row r="58" spans="1:12" x14ac:dyDescent="0.25">
      <c r="A58" s="748"/>
      <c r="B58" s="811" t="s">
        <v>1201</v>
      </c>
      <c r="C58" s="748"/>
      <c r="D58" s="748"/>
      <c r="E58" s="748"/>
      <c r="F58" s="748"/>
      <c r="G58" s="748"/>
      <c r="H58" s="748"/>
      <c r="I58" s="748"/>
      <c r="J58" s="713"/>
      <c r="K58" s="713"/>
      <c r="L58" s="713"/>
    </row>
    <row r="59" spans="1:12" x14ac:dyDescent="0.25">
      <c r="A59" s="728"/>
      <c r="B59" s="811" t="s">
        <v>1202</v>
      </c>
      <c r="C59" s="713"/>
      <c r="D59" s="713"/>
      <c r="E59" s="713"/>
      <c r="F59" s="713"/>
      <c r="G59" s="749"/>
      <c r="H59" s="749"/>
      <c r="I59" s="749"/>
      <c r="J59" s="730"/>
      <c r="K59" s="730"/>
      <c r="L59" s="730"/>
    </row>
    <row r="60" spans="1:12" x14ac:dyDescent="0.25">
      <c r="A60" s="728"/>
      <c r="B60" s="811" t="s">
        <v>1203</v>
      </c>
      <c r="C60" s="713"/>
      <c r="D60" s="713"/>
      <c r="E60" s="713"/>
      <c r="F60" s="713"/>
      <c r="G60" s="749"/>
      <c r="H60" s="749"/>
      <c r="I60" s="749"/>
      <c r="J60" s="730"/>
      <c r="K60" s="730"/>
      <c r="L60" s="730"/>
    </row>
    <row r="61" spans="1:12" x14ac:dyDescent="0.25">
      <c r="A61" s="728"/>
      <c r="B61" s="811" t="s">
        <v>1204</v>
      </c>
      <c r="C61" s="750"/>
      <c r="D61" s="751"/>
      <c r="E61" s="713"/>
      <c r="F61" s="713"/>
      <c r="G61" s="749"/>
      <c r="H61" s="749"/>
      <c r="I61" s="749"/>
      <c r="J61" s="730"/>
      <c r="K61" s="730"/>
      <c r="L61" s="730"/>
    </row>
    <row r="62" spans="1:12" x14ac:dyDescent="0.25">
      <c r="A62" s="696"/>
      <c r="B62" s="741"/>
      <c r="C62" s="713"/>
      <c r="D62" s="713"/>
      <c r="E62" s="713"/>
      <c r="F62" s="713"/>
      <c r="G62" s="749"/>
      <c r="H62" s="749"/>
      <c r="I62" s="749"/>
      <c r="J62" s="730"/>
      <c r="K62" s="730"/>
      <c r="L62" s="730"/>
    </row>
    <row r="63" spans="1:12" x14ac:dyDescent="0.25">
      <c r="A63" s="696"/>
      <c r="B63" s="698"/>
      <c r="C63" s="702"/>
      <c r="D63" s="690"/>
      <c r="E63" s="688"/>
      <c r="F63" s="688"/>
      <c r="J63" s="709"/>
      <c r="K63" s="709"/>
      <c r="L63" s="709"/>
    </row>
    <row r="64" spans="1:12" x14ac:dyDescent="0.25">
      <c r="A64" s="696"/>
      <c r="B64" s="698"/>
      <c r="C64" s="702"/>
      <c r="D64" s="703"/>
      <c r="E64" s="688"/>
      <c r="F64" s="688"/>
      <c r="J64" s="709"/>
      <c r="K64" s="709"/>
      <c r="L64" s="709"/>
    </row>
    <row r="65" spans="1:12" x14ac:dyDescent="0.25">
      <c r="A65" s="696"/>
      <c r="B65" s="701"/>
      <c r="C65" s="698"/>
      <c r="D65" s="698"/>
      <c r="E65" s="698"/>
      <c r="F65" s="698"/>
      <c r="J65" s="709"/>
      <c r="K65" s="709"/>
      <c r="L65" s="709"/>
    </row>
    <row r="66" spans="1:12" x14ac:dyDescent="0.25">
      <c r="A66" s="698"/>
      <c r="B66" s="698"/>
      <c r="C66" s="702"/>
      <c r="D66" s="690"/>
      <c r="E66" s="698"/>
      <c r="F66" s="698"/>
      <c r="J66" s="709"/>
      <c r="K66" s="709"/>
      <c r="L66" s="709"/>
    </row>
    <row r="67" spans="1:12" x14ac:dyDescent="0.25">
      <c r="A67" s="698"/>
      <c r="B67" s="698"/>
      <c r="C67" s="702"/>
      <c r="D67" s="703"/>
      <c r="E67" s="698"/>
      <c r="F67" s="698"/>
      <c r="J67" s="709"/>
      <c r="K67" s="709"/>
      <c r="L67" s="709"/>
    </row>
    <row r="68" spans="1:12" x14ac:dyDescent="0.25">
      <c r="A68" s="698"/>
      <c r="B68" s="701"/>
      <c r="C68" s="698"/>
      <c r="D68" s="698"/>
      <c r="E68" s="698"/>
      <c r="F68" s="698"/>
      <c r="J68" s="709"/>
      <c r="K68" s="709"/>
      <c r="L68" s="709"/>
    </row>
    <row r="69" spans="1:12" x14ac:dyDescent="0.25">
      <c r="J69" s="709"/>
      <c r="K69" s="709"/>
      <c r="L69" s="709"/>
    </row>
    <row r="70" spans="1:12" x14ac:dyDescent="0.25">
      <c r="J70" s="709"/>
      <c r="K70" s="709"/>
      <c r="L70" s="709"/>
    </row>
    <row r="71" spans="1:12" x14ac:dyDescent="0.25">
      <c r="J71" s="709"/>
      <c r="K71" s="709"/>
      <c r="L71" s="709"/>
    </row>
    <row r="72" spans="1:12" x14ac:dyDescent="0.25">
      <c r="J72" s="709"/>
      <c r="K72" s="709"/>
      <c r="L72" s="709"/>
    </row>
    <row r="73" spans="1:12" x14ac:dyDescent="0.25">
      <c r="J73" s="709"/>
      <c r="K73" s="709"/>
      <c r="L73" s="709"/>
    </row>
    <row r="74" spans="1:12" x14ac:dyDescent="0.25">
      <c r="J74" s="709"/>
      <c r="K74" s="709"/>
      <c r="L74" s="709"/>
    </row>
    <row r="75" spans="1:12" x14ac:dyDescent="0.25">
      <c r="J75" s="709"/>
      <c r="K75" s="709"/>
      <c r="L75" s="709"/>
    </row>
    <row r="76" spans="1:12" x14ac:dyDescent="0.25">
      <c r="J76" s="709"/>
      <c r="K76" s="709"/>
      <c r="L76" s="709"/>
    </row>
    <row r="77" spans="1:12" x14ac:dyDescent="0.25">
      <c r="J77" s="709"/>
      <c r="K77" s="709"/>
      <c r="L77" s="709"/>
    </row>
    <row r="78" spans="1:12" x14ac:dyDescent="0.25">
      <c r="J78" s="709"/>
      <c r="K78" s="709"/>
      <c r="L78" s="709"/>
    </row>
    <row r="79" spans="1:12" x14ac:dyDescent="0.25">
      <c r="J79" s="709"/>
      <c r="K79" s="709"/>
      <c r="L79" s="709"/>
    </row>
    <row r="80" spans="1:12" x14ac:dyDescent="0.25">
      <c r="J80" s="709"/>
      <c r="K80" s="709"/>
      <c r="L80" s="709"/>
    </row>
    <row r="81" spans="10:12" x14ac:dyDescent="0.25">
      <c r="J81" s="709"/>
      <c r="K81" s="709"/>
      <c r="L81" s="709"/>
    </row>
    <row r="82" spans="10:12" x14ac:dyDescent="0.25">
      <c r="J82" s="709"/>
      <c r="K82" s="709"/>
      <c r="L82" s="709"/>
    </row>
    <row r="83" spans="10:12" x14ac:dyDescent="0.25">
      <c r="J83" s="709"/>
      <c r="K83" s="709"/>
      <c r="L83" s="709"/>
    </row>
    <row r="84" spans="10:12" x14ac:dyDescent="0.25">
      <c r="J84" s="709"/>
      <c r="K84" s="709"/>
      <c r="L84" s="709"/>
    </row>
    <row r="85" spans="10:12" x14ac:dyDescent="0.25">
      <c r="J85" s="709"/>
      <c r="K85" s="709"/>
      <c r="L85" s="709"/>
    </row>
    <row r="86" spans="10:12" x14ac:dyDescent="0.25">
      <c r="J86" s="709"/>
      <c r="K86" s="709"/>
      <c r="L86" s="709"/>
    </row>
    <row r="87" spans="10:12" x14ac:dyDescent="0.25">
      <c r="J87" s="709"/>
      <c r="K87" s="709"/>
      <c r="L87" s="709"/>
    </row>
    <row r="88" spans="10:12" x14ac:dyDescent="0.25">
      <c r="J88" s="709"/>
      <c r="K88" s="709"/>
      <c r="L88" s="709"/>
    </row>
    <row r="89" spans="10:12" x14ac:dyDescent="0.25">
      <c r="J89" s="709"/>
      <c r="K89" s="709"/>
      <c r="L89" s="709"/>
    </row>
    <row r="90" spans="10:12" x14ac:dyDescent="0.25">
      <c r="J90" s="709"/>
      <c r="K90" s="709"/>
      <c r="L90" s="709"/>
    </row>
    <row r="91" spans="10:12" x14ac:dyDescent="0.25">
      <c r="J91" s="709"/>
      <c r="K91" s="709"/>
      <c r="L91" s="709"/>
    </row>
    <row r="92" spans="10:12" x14ac:dyDescent="0.25">
      <c r="J92" s="709"/>
      <c r="K92" s="709"/>
      <c r="L92" s="709"/>
    </row>
    <row r="93" spans="10:12" x14ac:dyDescent="0.25">
      <c r="J93" s="709"/>
      <c r="K93" s="709"/>
      <c r="L93" s="709"/>
    </row>
    <row r="94" spans="10:12" x14ac:dyDescent="0.25">
      <c r="J94" s="709"/>
      <c r="K94" s="709"/>
      <c r="L94" s="709"/>
    </row>
    <row r="95" spans="10:12" x14ac:dyDescent="0.25">
      <c r="J95" s="709"/>
      <c r="K95" s="709"/>
      <c r="L95" s="709"/>
    </row>
    <row r="96" spans="10:12" x14ac:dyDescent="0.25">
      <c r="J96" s="709"/>
      <c r="K96" s="709"/>
      <c r="L96" s="709"/>
    </row>
    <row r="97" spans="10:12" x14ac:dyDescent="0.25">
      <c r="J97" s="709"/>
      <c r="K97" s="709"/>
      <c r="L97" s="709"/>
    </row>
  </sheetData>
  <mergeCells count="2">
    <mergeCell ref="B5:J5"/>
    <mergeCell ref="D13:I13"/>
  </mergeCells>
  <printOptions horizontalCentered="1"/>
  <pageMargins left="0.25" right="0.25" top="0.5" bottom="0.5" header="0.25" footer="0.25"/>
  <pageSetup scale="58" orientation="landscape" r:id="rId1"/>
  <headerFooter scaleWithDoc="0">
    <oddFooter>&amp;C&amp;"Times New Roman,Regular"&amp;10&amp;A</oddFooter>
  </headerFooter>
  <customProperties>
    <customPr name="_pios_id" r:id="rId2"/>
  </customPropertie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F1F98-47F8-40A1-8D13-1DCCAD33821A}">
  <sheetPr>
    <pageSetUpPr fitToPage="1"/>
  </sheetPr>
  <dimension ref="A1:Q66"/>
  <sheetViews>
    <sheetView zoomScale="80" zoomScaleNormal="80" workbookViewId="0">
      <selection activeCell="N53" sqref="N53"/>
    </sheetView>
  </sheetViews>
  <sheetFormatPr defaultColWidth="14.5703125" defaultRowHeight="15" x14ac:dyDescent="0.25"/>
  <cols>
    <col min="1" max="1" width="5.7109375" style="749" customWidth="1"/>
    <col min="2" max="2" width="49" style="749" customWidth="1"/>
    <col min="3" max="3" width="8.7109375" style="749" customWidth="1"/>
    <col min="4" max="9" width="15.7109375" style="749" customWidth="1"/>
    <col min="10" max="10" width="16.42578125" style="749" customWidth="1"/>
    <col min="11" max="11" width="17.28515625" style="749" customWidth="1"/>
    <col min="12" max="12" width="18.7109375" style="749" customWidth="1"/>
    <col min="13" max="13" width="15.7109375" style="749" customWidth="1"/>
    <col min="14" max="14" width="17.28515625" style="749" customWidth="1"/>
    <col min="15" max="15" width="30.5703125" style="749" customWidth="1"/>
    <col min="16" max="16" width="5.7109375" style="749" customWidth="1"/>
    <col min="17" max="16384" width="14.5703125" style="749"/>
  </cols>
  <sheetData>
    <row r="1" spans="1:17" ht="15.75" x14ac:dyDescent="0.25">
      <c r="A1" s="752"/>
      <c r="B1" s="753" t="s">
        <v>0</v>
      </c>
      <c r="C1" s="754"/>
      <c r="D1" s="754"/>
      <c r="E1" s="754"/>
      <c r="F1" s="754"/>
      <c r="G1" s="754"/>
      <c r="H1" s="754"/>
      <c r="I1" s="754"/>
      <c r="J1" s="754"/>
      <c r="K1" s="754"/>
      <c r="L1" s="754"/>
      <c r="M1" s="754"/>
      <c r="N1" s="754"/>
      <c r="O1" s="754"/>
    </row>
    <row r="2" spans="1:17" x14ac:dyDescent="0.25">
      <c r="A2" s="755"/>
      <c r="B2" s="753" t="s">
        <v>1244</v>
      </c>
      <c r="C2" s="754"/>
      <c r="D2" s="754"/>
      <c r="E2" s="754"/>
      <c r="F2" s="754"/>
      <c r="G2" s="754"/>
      <c r="H2" s="754"/>
      <c r="I2" s="754"/>
      <c r="J2" s="754"/>
      <c r="K2" s="754"/>
      <c r="L2" s="754"/>
      <c r="M2" s="754"/>
      <c r="N2" s="754"/>
      <c r="O2" s="754"/>
    </row>
    <row r="3" spans="1:17" x14ac:dyDescent="0.25">
      <c r="A3" s="755"/>
      <c r="B3" s="724" t="s">
        <v>1135</v>
      </c>
      <c r="C3" s="754"/>
      <c r="D3" s="754"/>
      <c r="E3" s="754"/>
      <c r="F3" s="754"/>
      <c r="G3" s="754"/>
      <c r="H3" s="754"/>
      <c r="I3" s="754"/>
      <c r="J3" s="754"/>
      <c r="K3" s="754"/>
      <c r="L3" s="754"/>
      <c r="M3" s="754"/>
      <c r="N3" s="754"/>
      <c r="O3" s="754"/>
    </row>
    <row r="4" spans="1:17" x14ac:dyDescent="0.25">
      <c r="A4" s="756"/>
      <c r="B4" s="757" t="s">
        <v>2025</v>
      </c>
      <c r="C4" s="758"/>
      <c r="D4" s="758"/>
      <c r="E4" s="758"/>
      <c r="F4" s="758"/>
      <c r="G4" s="758"/>
      <c r="H4" s="758"/>
      <c r="I4" s="758"/>
      <c r="J4" s="758"/>
      <c r="K4" s="758"/>
      <c r="L4" s="758"/>
      <c r="M4" s="758"/>
      <c r="N4" s="758"/>
      <c r="O4" s="759"/>
      <c r="P4" s="760"/>
      <c r="Q4" s="760"/>
    </row>
    <row r="5" spans="1:17" x14ac:dyDescent="0.25">
      <c r="A5" s="756"/>
      <c r="B5" s="1344" t="s">
        <v>4</v>
      </c>
      <c r="C5" s="1344"/>
      <c r="D5" s="1344"/>
      <c r="E5" s="1344"/>
      <c r="F5" s="1344"/>
      <c r="G5" s="1344"/>
      <c r="H5" s="1344"/>
      <c r="I5" s="1344"/>
      <c r="J5" s="1344"/>
      <c r="K5" s="1344"/>
      <c r="L5" s="1344"/>
      <c r="M5" s="1344"/>
      <c r="N5" s="1344"/>
      <c r="O5" s="1344"/>
      <c r="P5" s="760"/>
      <c r="Q5" s="760"/>
    </row>
    <row r="6" spans="1:17" x14ac:dyDescent="0.25">
      <c r="A6" s="756"/>
      <c r="B6" s="724"/>
      <c r="C6" s="777"/>
      <c r="D6" s="777"/>
      <c r="E6" s="777"/>
      <c r="F6" s="777"/>
      <c r="G6" s="777"/>
      <c r="H6" s="777"/>
      <c r="I6" s="777"/>
      <c r="J6" s="777"/>
      <c r="K6" s="777"/>
      <c r="L6" s="777"/>
      <c r="M6" s="777"/>
      <c r="N6" s="777"/>
      <c r="O6" s="778"/>
      <c r="P6" s="760"/>
      <c r="Q6" s="760"/>
    </row>
    <row r="7" spans="1:17" x14ac:dyDescent="0.25">
      <c r="A7" s="713"/>
      <c r="B7" s="779"/>
      <c r="C7" s="779"/>
      <c r="D7" s="713"/>
      <c r="E7" s="713"/>
      <c r="F7" s="713"/>
      <c r="G7" s="713"/>
      <c r="H7" s="713"/>
      <c r="I7" s="713"/>
      <c r="J7" s="713"/>
      <c r="K7" s="713"/>
      <c r="L7" s="730"/>
      <c r="M7" s="751" t="s">
        <v>1136</v>
      </c>
      <c r="N7" s="763">
        <v>2025</v>
      </c>
      <c r="O7" s="764"/>
      <c r="P7" s="748"/>
      <c r="Q7" s="748"/>
    </row>
    <row r="8" spans="1:17" x14ac:dyDescent="0.25">
      <c r="A8" s="713"/>
      <c r="B8" s="713"/>
      <c r="C8" s="713"/>
      <c r="D8" s="713"/>
      <c r="E8" s="713"/>
      <c r="F8" s="713"/>
      <c r="G8" s="713"/>
      <c r="H8" s="713"/>
      <c r="I8" s="713"/>
      <c r="J8" s="713"/>
      <c r="K8" s="713"/>
      <c r="L8" s="713"/>
      <c r="M8" s="713"/>
      <c r="N8" s="713"/>
      <c r="O8" s="764"/>
      <c r="P8" s="748"/>
      <c r="Q8" s="748"/>
    </row>
    <row r="9" spans="1:17" x14ac:dyDescent="0.25">
      <c r="A9" s="729"/>
      <c r="B9" s="765" t="s">
        <v>1137</v>
      </c>
      <c r="C9" s="765" t="s">
        <v>1138</v>
      </c>
      <c r="D9" s="765" t="s">
        <v>1139</v>
      </c>
      <c r="E9" s="765" t="s">
        <v>1140</v>
      </c>
      <c r="F9" s="765" t="s">
        <v>1141</v>
      </c>
      <c r="G9" s="765" t="s">
        <v>1142</v>
      </c>
      <c r="H9" s="765" t="s">
        <v>1143</v>
      </c>
      <c r="I9" s="765" t="s">
        <v>1144</v>
      </c>
      <c r="J9" s="765" t="s">
        <v>1145</v>
      </c>
      <c r="K9" s="765" t="s">
        <v>1146</v>
      </c>
      <c r="L9" s="765" t="s">
        <v>1147</v>
      </c>
      <c r="M9" s="765" t="s">
        <v>1148</v>
      </c>
      <c r="N9" s="765" t="s">
        <v>1149</v>
      </c>
      <c r="O9" s="766"/>
      <c r="P9" s="767"/>
      <c r="Q9" s="767"/>
    </row>
    <row r="10" spans="1:17" ht="15.75" thickBot="1" x14ac:dyDescent="0.3">
      <c r="A10" s="713"/>
      <c r="B10" s="729"/>
      <c r="C10" s="729"/>
      <c r="D10" s="729"/>
      <c r="E10" s="729"/>
      <c r="F10" s="729"/>
      <c r="G10" s="729"/>
      <c r="H10" s="729"/>
      <c r="I10" s="729"/>
      <c r="J10" s="729"/>
      <c r="K10" s="729"/>
      <c r="L10" s="729"/>
      <c r="M10" s="729"/>
      <c r="N10" s="729"/>
      <c r="O10" s="766"/>
      <c r="P10" s="766"/>
      <c r="Q10" s="766"/>
    </row>
    <row r="11" spans="1:17" ht="15.75" thickBot="1" x14ac:dyDescent="0.3">
      <c r="A11" s="713"/>
      <c r="B11" s="729"/>
      <c r="C11" s="729"/>
      <c r="D11" s="768"/>
      <c r="E11" s="768"/>
      <c r="F11" s="768"/>
      <c r="G11" s="768"/>
      <c r="H11" s="768"/>
      <c r="I11" s="768"/>
      <c r="J11" s="804" t="s">
        <v>263</v>
      </c>
      <c r="K11" s="794" t="s">
        <v>1150</v>
      </c>
      <c r="L11" s="769" t="s">
        <v>1245</v>
      </c>
      <c r="M11" s="769" t="s">
        <v>1152</v>
      </c>
      <c r="N11" s="769" t="s">
        <v>1152</v>
      </c>
      <c r="O11" s="766"/>
      <c r="P11" s="766"/>
      <c r="Q11" s="766"/>
    </row>
    <row r="12" spans="1:17" ht="72.75" customHeight="1" thickBot="1" x14ac:dyDescent="0.3">
      <c r="A12" s="770" t="s">
        <v>1153</v>
      </c>
      <c r="B12" s="796" t="s">
        <v>1154</v>
      </c>
      <c r="C12" s="771" t="s">
        <v>1155</v>
      </c>
      <c r="D12" s="772" t="s">
        <v>1156</v>
      </c>
      <c r="E12" s="772" t="s">
        <v>1157</v>
      </c>
      <c r="F12" s="772" t="s">
        <v>1158</v>
      </c>
      <c r="G12" s="772" t="s">
        <v>1159</v>
      </c>
      <c r="H12" s="773" t="s">
        <v>1160</v>
      </c>
      <c r="I12" s="772" t="s">
        <v>1161</v>
      </c>
      <c r="J12" s="772" t="s">
        <v>1162</v>
      </c>
      <c r="K12" s="772" t="s">
        <v>1163</v>
      </c>
      <c r="L12" s="773" t="s">
        <v>1164</v>
      </c>
      <c r="M12" s="772" t="s">
        <v>1165</v>
      </c>
      <c r="N12" s="772" t="s">
        <v>1166</v>
      </c>
      <c r="O12" s="796" t="s">
        <v>8</v>
      </c>
      <c r="P12" s="770" t="s">
        <v>1153</v>
      </c>
      <c r="Q12" s="774"/>
    </row>
    <row r="13" spans="1:17" x14ac:dyDescent="0.25">
      <c r="A13" s="728">
        <v>1</v>
      </c>
      <c r="B13" s="713" t="s">
        <v>1167</v>
      </c>
      <c r="C13" s="735"/>
      <c r="D13" s="713"/>
      <c r="E13" s="713"/>
      <c r="F13" s="713"/>
      <c r="G13" s="713"/>
      <c r="H13" s="713"/>
      <c r="I13" s="713"/>
      <c r="J13" s="713"/>
      <c r="K13" s="713"/>
      <c r="L13" s="713"/>
      <c r="M13" s="713"/>
      <c r="N13" s="713"/>
      <c r="O13" s="740"/>
      <c r="P13" s="728">
        <v>1</v>
      </c>
      <c r="Q13" s="748"/>
    </row>
    <row r="14" spans="1:17" x14ac:dyDescent="0.25">
      <c r="A14" s="728">
        <f t="shared" ref="A14:A44" si="0">+A13+1</f>
        <v>2</v>
      </c>
      <c r="B14" s="713" t="s">
        <v>1168</v>
      </c>
      <c r="C14" s="728"/>
      <c r="D14" s="713"/>
      <c r="E14" s="713"/>
      <c r="F14" s="718"/>
      <c r="G14" s="718"/>
      <c r="H14" s="718"/>
      <c r="I14" s="718"/>
      <c r="J14" s="713"/>
      <c r="K14" s="713"/>
      <c r="L14" s="713"/>
      <c r="M14" s="713"/>
      <c r="N14" s="713"/>
      <c r="O14" s="729"/>
      <c r="P14" s="728">
        <f t="shared" ref="P14:P44" si="1">+P13+1</f>
        <v>2</v>
      </c>
      <c r="Q14" s="748"/>
    </row>
    <row r="15" spans="1:17" x14ac:dyDescent="0.25">
      <c r="A15" s="728">
        <f t="shared" si="0"/>
        <v>3</v>
      </c>
      <c r="B15" s="713" t="s">
        <v>1169</v>
      </c>
      <c r="C15" s="728">
        <v>190</v>
      </c>
      <c r="D15" s="713">
        <f>'Order 864-1'!M15</f>
        <v>0</v>
      </c>
      <c r="E15" s="713">
        <f>'Order 864-1'!N15</f>
        <v>0</v>
      </c>
      <c r="F15" s="718"/>
      <c r="G15" s="718"/>
      <c r="H15" s="718"/>
      <c r="I15" s="718"/>
      <c r="J15" s="713">
        <f>'Order 864-1'!J15+H15+I15</f>
        <v>-121.75572065244999</v>
      </c>
      <c r="K15" s="713">
        <f t="shared" ref="K15:K17" si="2">SUM(D15:I15)</f>
        <v>0</v>
      </c>
      <c r="L15" s="713">
        <f>'Order 864-4'!I21</f>
        <v>0</v>
      </c>
      <c r="M15" s="713">
        <f>IF(SUM($K$15:$L$17)&lt;0,0,SUM($K15:$L15))</f>
        <v>0</v>
      </c>
      <c r="N15" s="713">
        <f>IF(SUM($K$15:$L$17)&lt;0,SUM($K15:$L15),0)</f>
        <v>0</v>
      </c>
      <c r="O15" s="729" t="s">
        <v>263</v>
      </c>
      <c r="P15" s="728">
        <f t="shared" si="1"/>
        <v>3</v>
      </c>
      <c r="Q15" s="748"/>
    </row>
    <row r="16" spans="1:17" x14ac:dyDescent="0.25">
      <c r="A16" s="728">
        <f t="shared" si="0"/>
        <v>4</v>
      </c>
      <c r="B16" s="713" t="s">
        <v>1170</v>
      </c>
      <c r="C16" s="728">
        <v>190</v>
      </c>
      <c r="D16" s="713">
        <f>'Order 864-1'!M16</f>
        <v>0</v>
      </c>
      <c r="E16" s="713">
        <f>'Order 864-1'!N16</f>
        <v>0</v>
      </c>
      <c r="F16" s="718"/>
      <c r="G16" s="718"/>
      <c r="H16" s="718"/>
      <c r="I16" s="718"/>
      <c r="J16" s="713">
        <f>'Order 864-1'!J16+H16+I16</f>
        <v>-67.238548636628707</v>
      </c>
      <c r="K16" s="713">
        <f t="shared" si="2"/>
        <v>0</v>
      </c>
      <c r="L16" s="713">
        <f>'Order 864-4'!I23</f>
        <v>0</v>
      </c>
      <c r="M16" s="713">
        <f>IF(SUM($K$15:$L$17)&lt;0,0,SUM($K16:$L16))</f>
        <v>0</v>
      </c>
      <c r="N16" s="713">
        <f>IF(SUM($K$15:$L$17)&lt;0,SUM($K16:$L16),0)</f>
        <v>0</v>
      </c>
      <c r="O16" s="729" t="s">
        <v>263</v>
      </c>
      <c r="P16" s="728">
        <f t="shared" si="1"/>
        <v>4</v>
      </c>
      <c r="Q16" s="748"/>
    </row>
    <row r="17" spans="1:17" x14ac:dyDescent="0.25">
      <c r="A17" s="728">
        <f t="shared" si="0"/>
        <v>5</v>
      </c>
      <c r="B17" s="713" t="s">
        <v>1171</v>
      </c>
      <c r="C17" s="728">
        <v>190</v>
      </c>
      <c r="D17" s="713">
        <f>'Order 864-1'!M17</f>
        <v>0</v>
      </c>
      <c r="E17" s="713">
        <f>'Order 864-1'!N17</f>
        <v>0</v>
      </c>
      <c r="F17" s="718"/>
      <c r="G17" s="718"/>
      <c r="H17" s="718"/>
      <c r="I17" s="718"/>
      <c r="J17" s="713">
        <f>'Order 864-1'!J17+H17+I17</f>
        <v>-214.4</v>
      </c>
      <c r="K17" s="713">
        <f t="shared" si="2"/>
        <v>0</v>
      </c>
      <c r="L17" s="713">
        <f>'Order 864-4'!I26</f>
        <v>0</v>
      </c>
      <c r="M17" s="713">
        <f>IF(SUM($K$15:$L$17)&lt;0,0,SUM($K17:$L17))</f>
        <v>0</v>
      </c>
      <c r="N17" s="713">
        <f>IF(SUM($K$15:$L$17)&lt;0,SUM($K17:$L17),0)</f>
        <v>0</v>
      </c>
      <c r="O17" s="729" t="s">
        <v>263</v>
      </c>
      <c r="P17" s="728">
        <f t="shared" si="1"/>
        <v>5</v>
      </c>
      <c r="Q17" s="748"/>
    </row>
    <row r="18" spans="1:17" x14ac:dyDescent="0.25">
      <c r="A18" s="728">
        <f t="shared" si="0"/>
        <v>6</v>
      </c>
      <c r="B18" s="713" t="s">
        <v>1172</v>
      </c>
      <c r="C18" s="728"/>
      <c r="D18" s="713"/>
      <c r="E18" s="713"/>
      <c r="F18" s="718"/>
      <c r="G18" s="718"/>
      <c r="H18" s="718"/>
      <c r="I18" s="718"/>
      <c r="J18" s="713">
        <f>'Order 864-1'!J18+H18+I18</f>
        <v>0</v>
      </c>
      <c r="K18" s="713"/>
      <c r="L18" s="713"/>
      <c r="M18" s="713"/>
      <c r="N18" s="713"/>
      <c r="O18" s="729"/>
      <c r="P18" s="728">
        <f t="shared" si="1"/>
        <v>6</v>
      </c>
      <c r="Q18" s="748"/>
    </row>
    <row r="19" spans="1:17" x14ac:dyDescent="0.25">
      <c r="A19" s="728">
        <f t="shared" si="0"/>
        <v>7</v>
      </c>
      <c r="B19" s="713" t="s">
        <v>1173</v>
      </c>
      <c r="C19" s="728">
        <v>190</v>
      </c>
      <c r="D19" s="713">
        <f>'Order 864-1'!M19</f>
        <v>0</v>
      </c>
      <c r="E19" s="713">
        <f>'Order 864-1'!N19</f>
        <v>0</v>
      </c>
      <c r="F19" s="718"/>
      <c r="G19" s="718"/>
      <c r="H19" s="718"/>
      <c r="I19" s="718"/>
      <c r="J19" s="713">
        <f>'Order 864-1'!J19+H19+I19</f>
        <v>-555.29460583790205</v>
      </c>
      <c r="K19" s="713">
        <f t="shared" ref="K19" si="3">SUM(D19:I19)</f>
        <v>0</v>
      </c>
      <c r="L19" s="713">
        <f>'Order 864-4'!I23</f>
        <v>0</v>
      </c>
      <c r="M19" s="713">
        <f>IF(SUM($K$19:$L$19)&lt;0,0,SUM($K19:$L19))</f>
        <v>0</v>
      </c>
      <c r="N19" s="713">
        <f>IF(SUM($K$19:$L$19)&lt;0,SUM($K19:$L19),0)</f>
        <v>0</v>
      </c>
      <c r="O19" s="729" t="s">
        <v>263</v>
      </c>
      <c r="P19" s="728">
        <f t="shared" si="1"/>
        <v>7</v>
      </c>
      <c r="Q19" s="748"/>
    </row>
    <row r="20" spans="1:17" x14ac:dyDescent="0.25">
      <c r="A20" s="728">
        <f t="shared" si="0"/>
        <v>8</v>
      </c>
      <c r="B20" s="713" t="s">
        <v>1174</v>
      </c>
      <c r="C20" s="728"/>
      <c r="D20" s="713"/>
      <c r="E20" s="713"/>
      <c r="F20" s="718"/>
      <c r="G20" s="718"/>
      <c r="H20" s="718"/>
      <c r="I20" s="718"/>
      <c r="J20" s="713">
        <f>'Order 864-1'!J20+H20+I20</f>
        <v>0</v>
      </c>
      <c r="K20" s="713"/>
      <c r="L20" s="713"/>
      <c r="M20" s="713"/>
      <c r="N20" s="713"/>
      <c r="O20" s="729"/>
      <c r="P20" s="728">
        <f t="shared" si="1"/>
        <v>8</v>
      </c>
      <c r="Q20" s="748"/>
    </row>
    <row r="21" spans="1:17" x14ac:dyDescent="0.25">
      <c r="A21" s="728">
        <f t="shared" si="0"/>
        <v>9</v>
      </c>
      <c r="B21" s="713" t="s">
        <v>1175</v>
      </c>
      <c r="C21" s="728">
        <v>283</v>
      </c>
      <c r="D21" s="713">
        <f>'Order 864-1'!M21</f>
        <v>0</v>
      </c>
      <c r="E21" s="713">
        <f>'Order 864-1'!N21</f>
        <v>0</v>
      </c>
      <c r="F21" s="718"/>
      <c r="G21" s="718"/>
      <c r="H21" s="718"/>
      <c r="I21" s="718"/>
      <c r="J21" s="713">
        <f>'Order 864-1'!J21+H21+I21</f>
        <v>-21828.386489952001</v>
      </c>
      <c r="K21" s="713">
        <f t="shared" ref="K21:K22" si="4">SUM(D21:I21)</f>
        <v>0</v>
      </c>
      <c r="L21" s="713">
        <f>'Order 864-4'!I26</f>
        <v>0</v>
      </c>
      <c r="M21" s="713">
        <f>IF(SUM($K$21:$L$22)&lt;0,0,SUM($K21:$L21))</f>
        <v>0</v>
      </c>
      <c r="N21" s="713">
        <f>IF(SUM($K$21:$L$22)&lt;0,SUM($K21:$L21),0)</f>
        <v>0</v>
      </c>
      <c r="O21" s="729" t="s">
        <v>263</v>
      </c>
      <c r="P21" s="728">
        <f t="shared" si="1"/>
        <v>9</v>
      </c>
      <c r="Q21" s="748"/>
    </row>
    <row r="22" spans="1:17" x14ac:dyDescent="0.25">
      <c r="A22" s="728">
        <f t="shared" si="0"/>
        <v>10</v>
      </c>
      <c r="B22" s="713" t="s">
        <v>1176</v>
      </c>
      <c r="C22" s="728">
        <v>283</v>
      </c>
      <c r="D22" s="713">
        <f>'Order 864-1'!M22</f>
        <v>0</v>
      </c>
      <c r="E22" s="713">
        <f>'Order 864-1'!N22</f>
        <v>0</v>
      </c>
      <c r="F22" s="718"/>
      <c r="G22" s="718"/>
      <c r="H22" s="718"/>
      <c r="I22" s="718"/>
      <c r="J22" s="713">
        <f>'Order 864-1'!J22+H22+I22</f>
        <v>24387.763684080001</v>
      </c>
      <c r="K22" s="713">
        <f t="shared" si="4"/>
        <v>0</v>
      </c>
      <c r="L22" s="713">
        <f>'Order 864-4'!I27</f>
        <v>0</v>
      </c>
      <c r="M22" s="713">
        <f>IF(SUM($K$21:$L$22)&lt;0,0,SUM($K22:$L22))</f>
        <v>0</v>
      </c>
      <c r="N22" s="713">
        <f>IF(SUM($K$21:$L$22)&lt;0,SUM($K22:$L22),0)</f>
        <v>0</v>
      </c>
      <c r="O22" s="729" t="s">
        <v>263</v>
      </c>
      <c r="P22" s="728">
        <f t="shared" si="1"/>
        <v>10</v>
      </c>
      <c r="Q22" s="748"/>
    </row>
    <row r="23" spans="1:17" x14ac:dyDescent="0.25">
      <c r="A23" s="728">
        <f t="shared" si="0"/>
        <v>11</v>
      </c>
      <c r="B23" s="729"/>
      <c r="C23" s="730"/>
      <c r="D23" s="780"/>
      <c r="E23" s="780"/>
      <c r="F23" s="780"/>
      <c r="G23" s="780"/>
      <c r="H23" s="780"/>
      <c r="I23" s="780"/>
      <c r="J23" s="780"/>
      <c r="K23" s="780"/>
      <c r="L23" s="780"/>
      <c r="M23" s="780"/>
      <c r="N23" s="780"/>
      <c r="O23" s="713"/>
      <c r="P23" s="728">
        <f t="shared" si="1"/>
        <v>11</v>
      </c>
      <c r="Q23" s="748"/>
    </row>
    <row r="24" spans="1:17" ht="15.75" thickBot="1" x14ac:dyDescent="0.3">
      <c r="A24" s="728">
        <f t="shared" si="0"/>
        <v>12</v>
      </c>
      <c r="B24" s="729" t="s">
        <v>1177</v>
      </c>
      <c r="C24" s="761"/>
      <c r="D24" s="711">
        <f>SUM(D14:D22)</f>
        <v>0</v>
      </c>
      <c r="E24" s="711">
        <f t="shared" ref="E24:L24" si="5">SUM(E14:E22)</f>
        <v>0</v>
      </c>
      <c r="F24" s="711">
        <f t="shared" si="5"/>
        <v>0</v>
      </c>
      <c r="G24" s="711">
        <f t="shared" si="5"/>
        <v>0</v>
      </c>
      <c r="H24" s="711">
        <f t="shared" si="5"/>
        <v>0</v>
      </c>
      <c r="I24" s="711">
        <f t="shared" si="5"/>
        <v>0</v>
      </c>
      <c r="J24" s="711">
        <f t="shared" ref="J24" si="6">SUM(J14:J22)</f>
        <v>1600.6883190010194</v>
      </c>
      <c r="K24" s="711">
        <f t="shared" si="5"/>
        <v>0</v>
      </c>
      <c r="L24" s="711">
        <f t="shared" si="5"/>
        <v>0</v>
      </c>
      <c r="M24" s="711">
        <f t="shared" ref="M24:N24" si="7">SUM(M14:M22)</f>
        <v>0</v>
      </c>
      <c r="N24" s="711">
        <f t="shared" si="7"/>
        <v>0</v>
      </c>
      <c r="O24" s="729" t="s">
        <v>1178</v>
      </c>
      <c r="P24" s="728">
        <f t="shared" si="1"/>
        <v>12</v>
      </c>
      <c r="Q24" s="748"/>
    </row>
    <row r="25" spans="1:17" ht="15.75" thickTop="1" x14ac:dyDescent="0.25">
      <c r="A25" s="728">
        <f t="shared" si="0"/>
        <v>13</v>
      </c>
      <c r="B25" s="713"/>
      <c r="C25" s="713"/>
      <c r="D25" s="733"/>
      <c r="E25" s="733"/>
      <c r="F25" s="733"/>
      <c r="G25" s="733"/>
      <c r="H25" s="733"/>
      <c r="I25" s="733"/>
      <c r="J25" s="733"/>
      <c r="K25" s="733"/>
      <c r="L25" s="733"/>
      <c r="M25" s="733"/>
      <c r="N25" s="733"/>
      <c r="O25" s="713"/>
      <c r="P25" s="728">
        <f t="shared" si="1"/>
        <v>13</v>
      </c>
      <c r="Q25" s="748"/>
    </row>
    <row r="26" spans="1:17" x14ac:dyDescent="0.25">
      <c r="A26" s="728">
        <f t="shared" si="0"/>
        <v>14</v>
      </c>
      <c r="B26" s="713" t="s">
        <v>1179</v>
      </c>
      <c r="C26" s="734"/>
      <c r="D26" s="733"/>
      <c r="E26" s="733"/>
      <c r="F26" s="733"/>
      <c r="G26" s="733"/>
      <c r="H26" s="733"/>
      <c r="I26" s="733"/>
      <c r="J26" s="733"/>
      <c r="K26" s="733"/>
      <c r="L26" s="733"/>
      <c r="M26" s="733"/>
      <c r="N26" s="733"/>
      <c r="O26" s="713"/>
      <c r="P26" s="728">
        <f t="shared" si="1"/>
        <v>14</v>
      </c>
      <c r="Q26" s="748"/>
    </row>
    <row r="27" spans="1:17" x14ac:dyDescent="0.25">
      <c r="A27" s="728">
        <f t="shared" si="0"/>
        <v>15</v>
      </c>
      <c r="B27" s="713" t="s">
        <v>1180</v>
      </c>
      <c r="C27" s="728">
        <v>190</v>
      </c>
      <c r="D27" s="713">
        <f>'Order 864-1'!M27</f>
        <v>100815.6796436119</v>
      </c>
      <c r="E27" s="713">
        <f>'Order 864-1'!N27</f>
        <v>0</v>
      </c>
      <c r="F27" s="718">
        <v>-0.17043424901021353</v>
      </c>
      <c r="G27" s="718"/>
      <c r="H27" s="718">
        <v>-1651.6020442437177</v>
      </c>
      <c r="I27" s="718"/>
      <c r="J27" s="713">
        <f>'Order 864-1'!J27+F27+H27+I27</f>
        <v>-11295.201780617006</v>
      </c>
      <c r="K27" s="713">
        <f>SUM(D27:I27)</f>
        <v>99163.907165119177</v>
      </c>
      <c r="L27" s="713">
        <f>'Order 864-4'!I30</f>
        <v>0</v>
      </c>
      <c r="M27" s="713">
        <f>IF(SUM($K$27:$L$27)&lt;0,0,SUM($K27:$L27))</f>
        <v>99163.907165119177</v>
      </c>
      <c r="N27" s="713">
        <f>IF(SUM($K$27:$L$27)&lt;0,SUM($K27:$L27),0)</f>
        <v>0</v>
      </c>
      <c r="O27" s="729" t="s">
        <v>263</v>
      </c>
      <c r="P27" s="728">
        <f t="shared" si="1"/>
        <v>15</v>
      </c>
      <c r="Q27" s="748"/>
    </row>
    <row r="28" spans="1:17" x14ac:dyDescent="0.25">
      <c r="A28" s="728">
        <f t="shared" si="0"/>
        <v>16</v>
      </c>
      <c r="B28" s="713" t="s">
        <v>1181</v>
      </c>
      <c r="C28" s="728"/>
      <c r="D28" s="713"/>
      <c r="E28" s="713"/>
      <c r="F28" s="718"/>
      <c r="G28" s="718"/>
      <c r="H28" s="718"/>
      <c r="I28" s="718"/>
      <c r="J28" s="713">
        <f>'Order 864-1'!J28+H28+I28</f>
        <v>0</v>
      </c>
      <c r="K28" s="713"/>
      <c r="L28" s="713"/>
      <c r="M28" s="713"/>
      <c r="N28" s="713"/>
      <c r="O28" s="729"/>
      <c r="P28" s="728">
        <f t="shared" si="1"/>
        <v>16</v>
      </c>
      <c r="Q28" s="748"/>
    </row>
    <row r="29" spans="1:17" x14ac:dyDescent="0.25">
      <c r="A29" s="728">
        <f t="shared" si="0"/>
        <v>17</v>
      </c>
      <c r="B29" s="713" t="s">
        <v>1182</v>
      </c>
      <c r="C29" s="728">
        <v>282</v>
      </c>
      <c r="D29" s="713">
        <f>'Order 864-1'!M29</f>
        <v>0</v>
      </c>
      <c r="E29" s="713">
        <f>'Order 864-1'!N29</f>
        <v>-361153.18600857159</v>
      </c>
      <c r="F29" s="718"/>
      <c r="G29" s="718">
        <v>0.95600000000013097</v>
      </c>
      <c r="H29" s="718"/>
      <c r="I29" s="718">
        <v>6291.7245530611972</v>
      </c>
      <c r="J29" s="713">
        <f>'Order 864-1'!J29+H29+I29</f>
        <v>40868.102619610298</v>
      </c>
      <c r="K29" s="713">
        <f t="shared" ref="K29" si="8">SUM(D29:I29)</f>
        <v>-354860.5054555104</v>
      </c>
      <c r="L29" s="713">
        <f>'Order 864-4'!I34</f>
        <v>0</v>
      </c>
      <c r="M29" s="713">
        <f>IF(SUM($K$29:$L$30)&lt;0,0,SUM($K29:$L29))</f>
        <v>0</v>
      </c>
      <c r="N29" s="713">
        <f>IF(SUM($K$29:$L$30)&lt;0,SUM($K29:$L29),0)</f>
        <v>-354860.5054555104</v>
      </c>
      <c r="O29" s="729" t="s">
        <v>263</v>
      </c>
      <c r="P29" s="728">
        <f t="shared" si="1"/>
        <v>17</v>
      </c>
      <c r="Q29" s="748"/>
    </row>
    <row r="30" spans="1:17" x14ac:dyDescent="0.25">
      <c r="A30" s="728">
        <f t="shared" si="0"/>
        <v>18</v>
      </c>
      <c r="B30" s="713" t="s">
        <v>1183</v>
      </c>
      <c r="C30" s="728">
        <v>282</v>
      </c>
      <c r="D30" s="713">
        <f>'Order 864-1'!M30</f>
        <v>0</v>
      </c>
      <c r="E30" s="713">
        <f>'Order 864-1'!N30</f>
        <v>5026.6239100000003</v>
      </c>
      <c r="F30" s="718"/>
      <c r="G30" s="718">
        <v>0</v>
      </c>
      <c r="H30" s="718"/>
      <c r="I30" s="718">
        <v>-789.37788</v>
      </c>
      <c r="J30" s="713">
        <f>'Order 864-1'!J30+H30+I30</f>
        <v>-7778.396850000001</v>
      </c>
      <c r="K30" s="713">
        <f>SUM(D30:I30)</f>
        <v>4237.2460300000002</v>
      </c>
      <c r="L30" s="713">
        <f>'Order 864-4'!I36</f>
        <v>0</v>
      </c>
      <c r="M30" s="713">
        <f>IF(SUM($K$29:$L$30)&lt;0,0,SUM($K30:$L30))</f>
        <v>0</v>
      </c>
      <c r="N30" s="713">
        <f>IF(SUM($K$29:$L$30)&lt;0,SUM($K30:$L30),0)</f>
        <v>4237.2460300000002</v>
      </c>
      <c r="O30" s="729" t="s">
        <v>263</v>
      </c>
      <c r="P30" s="728">
        <f t="shared" si="1"/>
        <v>18</v>
      </c>
      <c r="Q30" s="748"/>
    </row>
    <row r="31" spans="1:17" x14ac:dyDescent="0.25">
      <c r="A31" s="728">
        <f t="shared" si="0"/>
        <v>19</v>
      </c>
      <c r="B31" s="729" t="s">
        <v>1184</v>
      </c>
      <c r="C31" s="762"/>
      <c r="D31" s="721">
        <f t="shared" ref="D31:N31" si="9">SUM(D27:D30)</f>
        <v>100815.6796436119</v>
      </c>
      <c r="E31" s="721">
        <f t="shared" si="9"/>
        <v>-356126.56209857157</v>
      </c>
      <c r="F31" s="721">
        <f t="shared" si="9"/>
        <v>-0.17043424901021353</v>
      </c>
      <c r="G31" s="721">
        <f t="shared" si="9"/>
        <v>0.95600000000013097</v>
      </c>
      <c r="H31" s="721">
        <f t="shared" si="9"/>
        <v>-1651.6020442437177</v>
      </c>
      <c r="I31" s="721">
        <f t="shared" si="9"/>
        <v>5502.3466730611972</v>
      </c>
      <c r="J31" s="721">
        <f t="shared" si="9"/>
        <v>21794.503988993292</v>
      </c>
      <c r="K31" s="721">
        <f t="shared" si="9"/>
        <v>-251459.3522603912</v>
      </c>
      <c r="L31" s="721">
        <f t="shared" si="9"/>
        <v>0</v>
      </c>
      <c r="M31" s="721">
        <f t="shared" si="9"/>
        <v>99163.907165119177</v>
      </c>
      <c r="N31" s="721">
        <f t="shared" si="9"/>
        <v>-350623.25942551042</v>
      </c>
      <c r="O31" s="729" t="s">
        <v>1185</v>
      </c>
      <c r="P31" s="728">
        <f t="shared" si="1"/>
        <v>19</v>
      </c>
      <c r="Q31" s="748"/>
    </row>
    <row r="32" spans="1:17" x14ac:dyDescent="0.25">
      <c r="A32" s="728">
        <f t="shared" si="0"/>
        <v>20</v>
      </c>
      <c r="B32" s="713"/>
      <c r="C32" s="730"/>
      <c r="D32" s="713"/>
      <c r="E32" s="713"/>
      <c r="F32" s="713"/>
      <c r="G32" s="713"/>
      <c r="H32" s="713"/>
      <c r="I32" s="713"/>
      <c r="J32" s="713"/>
      <c r="K32" s="713"/>
      <c r="L32" s="713"/>
      <c r="M32" s="713"/>
      <c r="N32" s="713"/>
      <c r="O32" s="713"/>
      <c r="P32" s="728">
        <f t="shared" si="1"/>
        <v>20</v>
      </c>
      <c r="Q32" s="748"/>
    </row>
    <row r="33" spans="1:17" x14ac:dyDescent="0.25">
      <c r="A33" s="728">
        <f t="shared" si="0"/>
        <v>21</v>
      </c>
      <c r="B33" s="713" t="s">
        <v>1186</v>
      </c>
      <c r="C33" s="735"/>
      <c r="D33" s="713"/>
      <c r="E33" s="713"/>
      <c r="F33" s="713"/>
      <c r="G33" s="713"/>
      <c r="H33" s="713"/>
      <c r="I33" s="713"/>
      <c r="J33" s="713"/>
      <c r="K33" s="713"/>
      <c r="L33" s="713"/>
      <c r="M33" s="713"/>
      <c r="N33" s="713"/>
      <c r="O33" s="713"/>
      <c r="P33" s="728">
        <f t="shared" si="1"/>
        <v>21</v>
      </c>
      <c r="Q33" s="748"/>
    </row>
    <row r="34" spans="1:17" x14ac:dyDescent="0.25">
      <c r="A34" s="728">
        <f t="shared" si="0"/>
        <v>22</v>
      </c>
      <c r="B34" s="713" t="s">
        <v>1187</v>
      </c>
      <c r="C34" s="728">
        <v>282</v>
      </c>
      <c r="D34" s="713">
        <f>'Order 864-1'!M34</f>
        <v>0</v>
      </c>
      <c r="E34" s="713">
        <f>'Order 864-1'!N34</f>
        <v>-11349.685399999998</v>
      </c>
      <c r="F34" s="718"/>
      <c r="G34" s="718">
        <v>-8.1000000000130967E-2</v>
      </c>
      <c r="H34" s="718"/>
      <c r="I34" s="718">
        <v>263.03754000000117</v>
      </c>
      <c r="J34" s="713">
        <f>'Order 864-1'!J34+H34+I34</f>
        <v>2119.5684236363613</v>
      </c>
      <c r="K34" s="713">
        <f t="shared" ref="K34:K36" si="10">SUM(D34:I34)</f>
        <v>-11086.728859999997</v>
      </c>
      <c r="L34" s="713">
        <f>'Order 864-4'!I37</f>
        <v>0</v>
      </c>
      <c r="M34" s="713">
        <f>IF(SUM($K$34:$L$34)&lt;0,0,SUM($K34:$L34))</f>
        <v>0</v>
      </c>
      <c r="N34" s="713">
        <f>IF(SUM($K$34:$L$34)&lt;0,SUM($K34:$L34),0)</f>
        <v>-11086.728859999997</v>
      </c>
      <c r="O34" s="729" t="s">
        <v>263</v>
      </c>
      <c r="P34" s="728">
        <f t="shared" si="1"/>
        <v>22</v>
      </c>
      <c r="Q34" s="748"/>
    </row>
    <row r="35" spans="1:17" x14ac:dyDescent="0.25">
      <c r="A35" s="728">
        <f t="shared" si="0"/>
        <v>23</v>
      </c>
      <c r="B35" s="713" t="s">
        <v>1188</v>
      </c>
      <c r="C35" s="728">
        <v>282</v>
      </c>
      <c r="D35" s="713">
        <f>'Order 864-1'!M35</f>
        <v>0</v>
      </c>
      <c r="E35" s="713">
        <f>'Order 864-1'!N35</f>
        <v>-29380.941679999996</v>
      </c>
      <c r="F35" s="718"/>
      <c r="G35" s="718">
        <v>-0.20200000000113505</v>
      </c>
      <c r="H35" s="718"/>
      <c r="I35" s="718">
        <v>746.52257999999711</v>
      </c>
      <c r="J35" s="713">
        <f>'Order 864-1'!J35+H35+I35</f>
        <v>10029.372842727265</v>
      </c>
      <c r="K35" s="713">
        <f t="shared" si="10"/>
        <v>-28634.6211</v>
      </c>
      <c r="L35" s="713">
        <f>'Order 864-4'!I38</f>
        <v>0</v>
      </c>
      <c r="M35" s="713">
        <f>IF(SUM($K$35:$L$35)&lt;0,0,SUM($K35:$L35))</f>
        <v>0</v>
      </c>
      <c r="N35" s="713">
        <f>IF(SUM($K$35:$L$35)&lt;0,SUM($K35:$L35),0)</f>
        <v>-28634.6211</v>
      </c>
      <c r="O35" s="729" t="s">
        <v>263</v>
      </c>
      <c r="P35" s="728">
        <f t="shared" si="1"/>
        <v>23</v>
      </c>
      <c r="Q35" s="748"/>
    </row>
    <row r="36" spans="1:17" x14ac:dyDescent="0.25">
      <c r="A36" s="728">
        <f t="shared" si="0"/>
        <v>24</v>
      </c>
      <c r="B36" s="713" t="s">
        <v>1189</v>
      </c>
      <c r="C36" s="736">
        <v>282</v>
      </c>
      <c r="D36" s="713">
        <f>'Order 864-1'!M36</f>
        <v>13364.72779206463</v>
      </c>
      <c r="E36" s="713">
        <f>'Order 864-1'!N36</f>
        <v>0</v>
      </c>
      <c r="F36" s="718">
        <v>-3.3000000001266017E-2</v>
      </c>
      <c r="G36" s="718"/>
      <c r="H36" s="718">
        <v>-220.63170999999943</v>
      </c>
      <c r="I36" s="718"/>
      <c r="J36" s="713">
        <f>'Order 864-1'!J36+H36+I36</f>
        <v>-255.11957773506873</v>
      </c>
      <c r="K36" s="713">
        <f t="shared" si="10"/>
        <v>13144.063082064629</v>
      </c>
      <c r="L36" s="713">
        <f>'Order 864-4'!I39</f>
        <v>0</v>
      </c>
      <c r="M36" s="713">
        <f>IF(SUM($K$36:$L$36)&lt;0,0,SUM($K36:$L36))</f>
        <v>13144.063082064629</v>
      </c>
      <c r="N36" s="713">
        <f>IF(SUM($K$36:$L$36)&lt;0,SUM($K36:$L36),0)</f>
        <v>0</v>
      </c>
      <c r="O36" s="729" t="s">
        <v>263</v>
      </c>
      <c r="P36" s="728">
        <f t="shared" si="1"/>
        <v>24</v>
      </c>
      <c r="Q36" s="748"/>
    </row>
    <row r="37" spans="1:17" x14ac:dyDescent="0.25">
      <c r="A37" s="728">
        <f t="shared" si="0"/>
        <v>25</v>
      </c>
      <c r="B37" s="729" t="s">
        <v>1184</v>
      </c>
      <c r="C37" s="762"/>
      <c r="D37" s="721">
        <f t="shared" ref="D37:L37" si="11">SUM(D34:D36)</f>
        <v>13364.72779206463</v>
      </c>
      <c r="E37" s="721">
        <f t="shared" si="11"/>
        <v>-40730.627079999991</v>
      </c>
      <c r="F37" s="721">
        <f t="shared" si="11"/>
        <v>-3.3000000001266017E-2</v>
      </c>
      <c r="G37" s="721">
        <f t="shared" si="11"/>
        <v>-0.28300000000126602</v>
      </c>
      <c r="H37" s="721">
        <f t="shared" si="11"/>
        <v>-220.63170999999943</v>
      </c>
      <c r="I37" s="721">
        <f t="shared" si="11"/>
        <v>1009.5601199999983</v>
      </c>
      <c r="J37" s="721">
        <f t="shared" ref="J37" si="12">SUM(J34:J36)</f>
        <v>11893.821688628557</v>
      </c>
      <c r="K37" s="721">
        <f t="shared" si="11"/>
        <v>-26577.28687793537</v>
      </c>
      <c r="L37" s="721">
        <f t="shared" si="11"/>
        <v>0</v>
      </c>
      <c r="M37" s="721">
        <f>SUM(M34:M36)</f>
        <v>13144.063082064629</v>
      </c>
      <c r="N37" s="721">
        <f>SUM(N34:N36)</f>
        <v>-39721.34996</v>
      </c>
      <c r="O37" s="729" t="s">
        <v>1190</v>
      </c>
      <c r="P37" s="728">
        <f t="shared" si="1"/>
        <v>25</v>
      </c>
      <c r="Q37" s="748"/>
    </row>
    <row r="38" spans="1:17" x14ac:dyDescent="0.25">
      <c r="A38" s="728">
        <f t="shared" si="0"/>
        <v>26</v>
      </c>
      <c r="B38" s="713"/>
      <c r="C38" s="730"/>
      <c r="D38" s="731"/>
      <c r="E38" s="731"/>
      <c r="F38" s="731"/>
      <c r="G38" s="731"/>
      <c r="H38" s="731"/>
      <c r="I38" s="731"/>
      <c r="J38" s="731"/>
      <c r="K38" s="731"/>
      <c r="L38" s="731"/>
      <c r="M38" s="731"/>
      <c r="N38" s="731"/>
      <c r="O38" s="713"/>
      <c r="P38" s="728">
        <f t="shared" si="1"/>
        <v>26</v>
      </c>
      <c r="Q38" s="748"/>
    </row>
    <row r="39" spans="1:17" x14ac:dyDescent="0.25">
      <c r="A39" s="728">
        <f t="shared" si="0"/>
        <v>27</v>
      </c>
      <c r="B39" s="713" t="s">
        <v>1186</v>
      </c>
      <c r="C39" s="730"/>
      <c r="D39" s="733"/>
      <c r="E39" s="733"/>
      <c r="F39" s="733"/>
      <c r="G39" s="733"/>
      <c r="H39" s="733"/>
      <c r="I39" s="733"/>
      <c r="J39" s="733"/>
      <c r="K39" s="733"/>
      <c r="L39" s="733"/>
      <c r="M39" s="733"/>
      <c r="N39" s="733"/>
      <c r="O39" s="713"/>
      <c r="P39" s="728">
        <f t="shared" si="1"/>
        <v>27</v>
      </c>
      <c r="Q39" s="748"/>
    </row>
    <row r="40" spans="1:17" x14ac:dyDescent="0.25">
      <c r="A40" s="728">
        <f t="shared" si="0"/>
        <v>28</v>
      </c>
      <c r="B40" s="713" t="s">
        <v>1191</v>
      </c>
      <c r="C40" s="736">
        <v>282</v>
      </c>
      <c r="D40" s="747">
        <f>'Order 864-1'!M40</f>
        <v>36023.591576735154</v>
      </c>
      <c r="E40" s="747">
        <f>'Order 864-1'!N40</f>
        <v>0</v>
      </c>
      <c r="F40" s="781"/>
      <c r="G40" s="781"/>
      <c r="H40" s="781">
        <v>-750.41334000000643</v>
      </c>
      <c r="I40" s="781"/>
      <c r="J40" s="713">
        <f>'Order 864-1'!J40+H40+I40</f>
        <v>-4429.853290539666</v>
      </c>
      <c r="K40" s="713">
        <f t="shared" ref="K40" si="13">SUM(D40:I40)</f>
        <v>35273.178236735148</v>
      </c>
      <c r="L40" s="713">
        <f>'Order 864-4'!I43</f>
        <v>0</v>
      </c>
      <c r="M40" s="713">
        <f>IF(SUM($K$40:$L$40)&lt;0,0,SUM($K40:$L40))</f>
        <v>35273.178236735148</v>
      </c>
      <c r="N40" s="713">
        <f>IF(SUM($K$40:$L$40)&lt;0,SUM($K40:$L40),0)</f>
        <v>0</v>
      </c>
      <c r="O40" s="729" t="s">
        <v>263</v>
      </c>
      <c r="P40" s="728">
        <f t="shared" si="1"/>
        <v>28</v>
      </c>
      <c r="Q40" s="748"/>
    </row>
    <row r="41" spans="1:17" x14ac:dyDescent="0.25">
      <c r="A41" s="728">
        <f t="shared" si="0"/>
        <v>29</v>
      </c>
      <c r="B41" s="713"/>
      <c r="C41" s="730"/>
      <c r="D41" s="737"/>
      <c r="E41" s="737"/>
      <c r="F41" s="737"/>
      <c r="G41" s="737"/>
      <c r="H41" s="737"/>
      <c r="I41" s="737"/>
      <c r="J41" s="737"/>
      <c r="K41" s="737"/>
      <c r="L41" s="737"/>
      <c r="M41" s="737"/>
      <c r="N41" s="737"/>
      <c r="O41" s="713"/>
      <c r="P41" s="728">
        <f t="shared" si="1"/>
        <v>29</v>
      </c>
      <c r="Q41" s="748"/>
    </row>
    <row r="42" spans="1:17" ht="15.75" thickBot="1" x14ac:dyDescent="0.3">
      <c r="A42" s="728">
        <f t="shared" si="0"/>
        <v>30</v>
      </c>
      <c r="B42" s="729" t="s">
        <v>1192</v>
      </c>
      <c r="C42" s="762"/>
      <c r="D42" s="711">
        <f t="shared" ref="D42:L42" si="14">D31+D37+D40</f>
        <v>150203.99901241169</v>
      </c>
      <c r="E42" s="711">
        <f t="shared" si="14"/>
        <v>-396857.18917857157</v>
      </c>
      <c r="F42" s="711">
        <f t="shared" si="14"/>
        <v>-0.20343424901147955</v>
      </c>
      <c r="G42" s="711">
        <f t="shared" si="14"/>
        <v>0.67299999999886495</v>
      </c>
      <c r="H42" s="711">
        <f t="shared" si="14"/>
        <v>-2622.6470942437236</v>
      </c>
      <c r="I42" s="711">
        <f t="shared" si="14"/>
        <v>6511.9067930611955</v>
      </c>
      <c r="J42" s="711">
        <f t="shared" si="14"/>
        <v>29258.472387082184</v>
      </c>
      <c r="K42" s="711">
        <f>K31+K37+K40</f>
        <v>-242763.46090159143</v>
      </c>
      <c r="L42" s="711">
        <f t="shared" si="14"/>
        <v>0</v>
      </c>
      <c r="M42" s="711">
        <f t="shared" ref="M42:N42" si="15">+M40+M37+M31</f>
        <v>147581.14848391895</v>
      </c>
      <c r="N42" s="711">
        <f t="shared" si="15"/>
        <v>-390344.60938551044</v>
      </c>
      <c r="O42" s="797" t="s">
        <v>1193</v>
      </c>
      <c r="P42" s="728">
        <f t="shared" si="1"/>
        <v>30</v>
      </c>
      <c r="Q42" s="748"/>
    </row>
    <row r="43" spans="1:17" ht="15.75" thickTop="1" x14ac:dyDescent="0.25">
      <c r="A43" s="728">
        <f t="shared" si="0"/>
        <v>31</v>
      </c>
      <c r="B43" s="713"/>
      <c r="C43" s="713"/>
      <c r="D43" s="738"/>
      <c r="E43" s="738"/>
      <c r="F43" s="738"/>
      <c r="G43" s="738"/>
      <c r="H43" s="738"/>
      <c r="I43" s="738"/>
      <c r="J43" s="738"/>
      <c r="K43" s="738"/>
      <c r="L43" s="738"/>
      <c r="M43" s="738"/>
      <c r="N43" s="738"/>
      <c r="O43" s="713"/>
      <c r="P43" s="728">
        <f t="shared" si="1"/>
        <v>31</v>
      </c>
      <c r="Q43" s="748"/>
    </row>
    <row r="44" spans="1:17" ht="15.75" thickBot="1" x14ac:dyDescent="0.3">
      <c r="A44" s="728">
        <f t="shared" si="0"/>
        <v>32</v>
      </c>
      <c r="B44" s="729" t="s">
        <v>1194</v>
      </c>
      <c r="C44" s="761"/>
      <c r="D44" s="711">
        <f t="shared" ref="D44:N44" si="16">D24+D42</f>
        <v>150203.99901241169</v>
      </c>
      <c r="E44" s="711">
        <f t="shared" si="16"/>
        <v>-396857.18917857157</v>
      </c>
      <c r="F44" s="711">
        <f t="shared" si="16"/>
        <v>-0.20343424901147955</v>
      </c>
      <c r="G44" s="711">
        <f t="shared" si="16"/>
        <v>0.67299999999886495</v>
      </c>
      <c r="H44" s="711">
        <f t="shared" si="16"/>
        <v>-2622.6470942437236</v>
      </c>
      <c r="I44" s="711">
        <f t="shared" si="16"/>
        <v>6511.9067930611955</v>
      </c>
      <c r="J44" s="711">
        <f t="shared" si="16"/>
        <v>30859.160706083203</v>
      </c>
      <c r="K44" s="711">
        <f t="shared" si="16"/>
        <v>-242763.46090159143</v>
      </c>
      <c r="L44" s="711">
        <f t="shared" si="16"/>
        <v>0</v>
      </c>
      <c r="M44" s="711">
        <f t="shared" si="16"/>
        <v>147581.14848391895</v>
      </c>
      <c r="N44" s="711">
        <f t="shared" si="16"/>
        <v>-390344.60938551044</v>
      </c>
      <c r="O44" s="729" t="s">
        <v>1195</v>
      </c>
      <c r="P44" s="728">
        <f t="shared" si="1"/>
        <v>32</v>
      </c>
      <c r="Q44" s="748"/>
    </row>
    <row r="45" spans="1:17" ht="15.75" thickTop="1" x14ac:dyDescent="0.25">
      <c r="A45" s="775"/>
      <c r="B45" s="713"/>
      <c r="C45" s="713"/>
      <c r="D45" s="713"/>
      <c r="E45" s="713"/>
      <c r="F45" s="713"/>
      <c r="G45" s="713"/>
      <c r="H45" s="713"/>
      <c r="I45" s="713"/>
      <c r="J45" s="713"/>
      <c r="K45" s="713"/>
      <c r="L45" s="713"/>
      <c r="M45" s="713">
        <f>'AF-2'!E35-M44</f>
        <v>0</v>
      </c>
      <c r="N45" s="713">
        <f>N44-'AF-2'!G35</f>
        <v>0</v>
      </c>
      <c r="O45" s="748"/>
      <c r="P45" s="748"/>
      <c r="Q45" s="748"/>
    </row>
    <row r="46" spans="1:17" x14ac:dyDescent="0.25">
      <c r="A46" s="775"/>
      <c r="B46" s="700" t="s">
        <v>1196</v>
      </c>
      <c r="C46" s="739"/>
      <c r="D46" s="713"/>
      <c r="E46" s="713"/>
      <c r="F46" s="713"/>
      <c r="G46" s="713"/>
      <c r="H46" s="713"/>
      <c r="I46" s="713"/>
      <c r="J46" s="713"/>
      <c r="K46" s="713"/>
      <c r="L46" s="713"/>
      <c r="M46" s="713"/>
      <c r="N46" s="713"/>
      <c r="O46" s="748"/>
      <c r="P46" s="748"/>
      <c r="Q46" s="748"/>
    </row>
    <row r="47" spans="1:17" x14ac:dyDescent="0.25">
      <c r="A47" s="775"/>
      <c r="B47" s="811" t="s">
        <v>1197</v>
      </c>
      <c r="C47" s="739"/>
      <c r="D47" s="713"/>
      <c r="E47" s="713"/>
      <c r="F47" s="713"/>
      <c r="G47" s="713"/>
      <c r="H47" s="713"/>
      <c r="I47" s="713"/>
      <c r="J47" s="713"/>
      <c r="K47" s="713"/>
      <c r="L47" s="713"/>
      <c r="M47" s="713"/>
      <c r="N47" s="713"/>
      <c r="O47" s="748"/>
      <c r="P47" s="748"/>
      <c r="Q47" s="748"/>
    </row>
    <row r="48" spans="1:17" x14ac:dyDescent="0.25">
      <c r="A48" s="775"/>
      <c r="B48" s="811" t="s">
        <v>1246</v>
      </c>
      <c r="C48" s="740"/>
      <c r="D48" s="740"/>
      <c r="E48" s="740"/>
      <c r="F48" s="713"/>
      <c r="G48" s="713"/>
      <c r="H48" s="713"/>
      <c r="I48" s="713"/>
      <c r="J48" s="713"/>
      <c r="K48" s="713"/>
      <c r="L48"/>
      <c r="M48" s="713"/>
      <c r="N48" s="713"/>
      <c r="O48" s="748"/>
      <c r="P48" s="748"/>
      <c r="Q48" s="748"/>
    </row>
    <row r="49" spans="1:17" x14ac:dyDescent="0.25">
      <c r="A49" s="775"/>
      <c r="B49" s="811" t="s">
        <v>1198</v>
      </c>
      <c r="C49" s="713"/>
      <c r="D49" s="713"/>
      <c r="E49" s="713"/>
      <c r="F49" s="713"/>
      <c r="G49" s="713"/>
      <c r="H49" s="713"/>
      <c r="I49" s="713"/>
      <c r="J49" s="713"/>
      <c r="K49" s="713"/>
      <c r="L49" s="713"/>
      <c r="M49" s="713"/>
      <c r="P49" s="748"/>
      <c r="Q49" s="748"/>
    </row>
    <row r="50" spans="1:17" x14ac:dyDescent="0.25">
      <c r="A50" s="775"/>
      <c r="B50" s="811" t="s">
        <v>1199</v>
      </c>
      <c r="C50" s="713"/>
      <c r="D50" s="805"/>
      <c r="E50" s="713"/>
      <c r="F50" s="713"/>
      <c r="G50" s="713"/>
      <c r="H50" s="713"/>
      <c r="I50" s="713"/>
      <c r="J50" s="713"/>
      <c r="K50" s="713"/>
      <c r="L50" s="713"/>
      <c r="M50" s="713"/>
      <c r="P50" s="748"/>
      <c r="Q50" s="748"/>
    </row>
    <row r="51" spans="1:17" x14ac:dyDescent="0.25">
      <c r="A51" s="775"/>
      <c r="B51" s="811" t="s">
        <v>1200</v>
      </c>
      <c r="C51" s="750"/>
      <c r="D51" s="782"/>
      <c r="E51" s="751"/>
      <c r="F51" s="713"/>
      <c r="G51" s="713"/>
      <c r="H51" s="713"/>
      <c r="I51" s="713"/>
      <c r="J51" s="713"/>
      <c r="K51" s="713"/>
      <c r="L51" s="713"/>
      <c r="M51" s="713"/>
      <c r="P51" s="748"/>
      <c r="Q51" s="748"/>
    </row>
    <row r="52" spans="1:17" x14ac:dyDescent="0.25">
      <c r="B52" s="811" t="s">
        <v>1201</v>
      </c>
      <c r="C52" s="750"/>
      <c r="D52" s="751"/>
      <c r="E52" s="751"/>
    </row>
    <row r="53" spans="1:17" x14ac:dyDescent="0.25">
      <c r="B53" s="811" t="s">
        <v>1202</v>
      </c>
      <c r="C53" s="750"/>
      <c r="D53" s="776"/>
      <c r="E53" s="776"/>
    </row>
    <row r="54" spans="1:17" x14ac:dyDescent="0.25">
      <c r="B54" s="811" t="s">
        <v>1203</v>
      </c>
      <c r="C54" s="740"/>
      <c r="D54" s="740"/>
      <c r="E54" s="740"/>
    </row>
    <row r="55" spans="1:17" x14ac:dyDescent="0.25">
      <c r="B55" s="811" t="s">
        <v>1204</v>
      </c>
    </row>
    <row r="56" spans="1:17" x14ac:dyDescent="0.25">
      <c r="B56" s="811" t="s">
        <v>1205</v>
      </c>
    </row>
    <row r="58" spans="1:17" x14ac:dyDescent="0.25">
      <c r="B58" s="741"/>
      <c r="C58" s="713"/>
      <c r="D58" s="713"/>
      <c r="E58" s="713"/>
      <c r="F58" s="730"/>
      <c r="G58" s="730"/>
      <c r="H58" s="775" t="s">
        <v>1206</v>
      </c>
      <c r="I58" s="775" t="s">
        <v>1207</v>
      </c>
      <c r="J58" s="775" t="s">
        <v>1208</v>
      </c>
      <c r="K58" s="775" t="s">
        <v>1209</v>
      </c>
      <c r="L58" s="775" t="s">
        <v>1210</v>
      </c>
    </row>
    <row r="59" spans="1:17" x14ac:dyDescent="0.25">
      <c r="B59" s="741"/>
      <c r="C59" s="713"/>
      <c r="D59" s="713"/>
      <c r="E59" s="713"/>
      <c r="F59" s="730"/>
      <c r="G59" s="730"/>
      <c r="H59" s="765" t="s">
        <v>1148</v>
      </c>
      <c r="I59" s="765" t="s">
        <v>1149</v>
      </c>
      <c r="J59" s="730"/>
    </row>
    <row r="60" spans="1:17" ht="39" x14ac:dyDescent="0.25">
      <c r="B60" s="812" t="s">
        <v>1211</v>
      </c>
      <c r="C60" s="713"/>
      <c r="D60" s="813" t="s">
        <v>1212</v>
      </c>
      <c r="E60" s="728"/>
      <c r="F60" s="730"/>
      <c r="G60" s="730"/>
      <c r="H60" s="814" t="s">
        <v>1165</v>
      </c>
      <c r="I60" s="814" t="s">
        <v>1166</v>
      </c>
      <c r="J60" s="814" t="s">
        <v>1213</v>
      </c>
      <c r="K60" s="814" t="s">
        <v>1214</v>
      </c>
      <c r="L60" s="814" t="s">
        <v>1215</v>
      </c>
    </row>
    <row r="61" spans="1:17" x14ac:dyDescent="0.25">
      <c r="B61" s="750" t="s">
        <v>1216</v>
      </c>
      <c r="C61" s="815" t="s">
        <v>1129</v>
      </c>
      <c r="D61" s="816">
        <v>0.21</v>
      </c>
      <c r="E61" s="817"/>
      <c r="F61" s="730"/>
      <c r="G61" s="750" t="s">
        <v>1217</v>
      </c>
      <c r="H61" s="713">
        <f>M24</f>
        <v>0</v>
      </c>
      <c r="I61" s="713">
        <f>N24</f>
        <v>0</v>
      </c>
      <c r="J61" s="818">
        <f>D66-1</f>
        <v>0.38857260290711548</v>
      </c>
      <c r="K61" s="713">
        <f>H61*J61</f>
        <v>0</v>
      </c>
      <c r="L61" s="713">
        <f>I61*J61</f>
        <v>0</v>
      </c>
    </row>
    <row r="62" spans="1:17" x14ac:dyDescent="0.25">
      <c r="B62" s="750" t="s">
        <v>1218</v>
      </c>
      <c r="C62" s="815" t="s">
        <v>1131</v>
      </c>
      <c r="D62" s="816">
        <v>8.8400000000000006E-2</v>
      </c>
      <c r="E62" s="817"/>
      <c r="F62" s="730"/>
      <c r="G62" s="750" t="s">
        <v>1219</v>
      </c>
      <c r="H62" s="713">
        <f>M42</f>
        <v>147581.14848391895</v>
      </c>
      <c r="I62" s="713">
        <f>N42</f>
        <v>-390344.60938551044</v>
      </c>
      <c r="J62" s="818">
        <f>D66-1</f>
        <v>0.38857260290711548</v>
      </c>
      <c r="K62" s="713">
        <f>H62*J62</f>
        <v>57345.991006417884</v>
      </c>
      <c r="L62" s="713">
        <f>I62*J62</f>
        <v>-151677.22089968904</v>
      </c>
    </row>
    <row r="63" spans="1:17" x14ac:dyDescent="0.25">
      <c r="B63" s="750" t="s">
        <v>1220</v>
      </c>
      <c r="C63" s="815" t="s">
        <v>1221</v>
      </c>
      <c r="D63" s="820">
        <f>-D62*D61</f>
        <v>-1.8564000000000001E-2</v>
      </c>
      <c r="E63" s="817"/>
      <c r="F63" s="817"/>
      <c r="G63" s="742"/>
      <c r="H63" s="742"/>
      <c r="I63" s="742"/>
      <c r="J63" s="742"/>
      <c r="K63" s="742"/>
      <c r="L63" s="742"/>
    </row>
    <row r="64" spans="1:17" x14ac:dyDescent="0.25">
      <c r="B64" s="750" t="s">
        <v>1222</v>
      </c>
      <c r="C64" s="815" t="s">
        <v>1223</v>
      </c>
      <c r="D64" s="821">
        <f>SUM(D61:D63)</f>
        <v>0.27983599999999997</v>
      </c>
      <c r="E64" s="819"/>
      <c r="F64" s="817"/>
    </row>
    <row r="65" spans="2:6" x14ac:dyDescent="0.25">
      <c r="B65" s="750" t="s">
        <v>1224</v>
      </c>
      <c r="C65" s="815" t="s">
        <v>1225</v>
      </c>
      <c r="D65" s="821">
        <f>1-D64</f>
        <v>0.72016400000000003</v>
      </c>
      <c r="E65" s="819"/>
      <c r="F65" s="817"/>
    </row>
    <row r="66" spans="2:6" x14ac:dyDescent="0.25">
      <c r="B66" s="750" t="s">
        <v>1213</v>
      </c>
      <c r="C66" s="815" t="s">
        <v>1226</v>
      </c>
      <c r="D66" s="822">
        <f>1/D65</f>
        <v>1.3885726029071155</v>
      </c>
      <c r="E66" s="818"/>
      <c r="F66" s="818"/>
    </row>
  </sheetData>
  <mergeCells count="1">
    <mergeCell ref="B5:O5"/>
  </mergeCells>
  <printOptions horizontalCentered="1"/>
  <pageMargins left="0.25" right="0.25" top="0.5" bottom="0.5" header="0.25" footer="0.25"/>
  <pageSetup scale="48" orientation="landscape" r:id="rId1"/>
  <headerFooter scaleWithDoc="0">
    <oddFooter>&amp;C&amp;"Times New Roman,Regular"&amp;10&amp;A</oddFooter>
  </headerFooter>
  <customProperties>
    <customPr name="_pios_id" r:id="rId2"/>
  </customPropertie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79B04-CBFC-4B0C-BD99-486311CFE97E}">
  <sheetPr>
    <pageSetUpPr fitToPage="1"/>
  </sheetPr>
  <dimension ref="A1:L61"/>
  <sheetViews>
    <sheetView zoomScale="80" zoomScaleNormal="80" workbookViewId="0">
      <selection activeCell="B64" sqref="B64"/>
    </sheetView>
  </sheetViews>
  <sheetFormatPr defaultColWidth="14.5703125" defaultRowHeight="15" x14ac:dyDescent="0.25"/>
  <cols>
    <col min="1" max="1" width="5.7109375" style="749" customWidth="1"/>
    <col min="2" max="2" width="45.7109375" style="749" customWidth="1"/>
    <col min="3" max="3" width="8.7109375" style="749" customWidth="1"/>
    <col min="4" max="9" width="16.5703125" style="749" customWidth="1"/>
    <col min="10" max="10" width="45.7109375" style="749" customWidth="1"/>
    <col min="11" max="11" width="5.7109375" style="749" customWidth="1"/>
    <col min="12" max="12" width="15.7109375" style="749" customWidth="1"/>
    <col min="13" max="16384" width="14.5703125" style="749"/>
  </cols>
  <sheetData>
    <row r="1" spans="1:12" x14ac:dyDescent="0.25">
      <c r="A1" s="755"/>
      <c r="B1" s="753" t="s">
        <v>0</v>
      </c>
      <c r="C1" s="754"/>
      <c r="D1" s="754"/>
      <c r="E1" s="754"/>
      <c r="F1" s="754"/>
      <c r="G1" s="754"/>
      <c r="H1" s="754"/>
      <c r="I1" s="754"/>
      <c r="J1" s="754"/>
      <c r="K1" s="755"/>
    </row>
    <row r="2" spans="1:12" x14ac:dyDescent="0.25">
      <c r="A2" s="755"/>
      <c r="B2" s="753" t="s">
        <v>1247</v>
      </c>
      <c r="C2" s="754"/>
      <c r="D2" s="754"/>
      <c r="E2" s="754"/>
      <c r="F2" s="754"/>
      <c r="G2" s="754"/>
      <c r="H2" s="754"/>
      <c r="I2" s="754"/>
      <c r="J2" s="754"/>
      <c r="K2" s="755"/>
    </row>
    <row r="3" spans="1:12" x14ac:dyDescent="0.25">
      <c r="A3" s="755"/>
      <c r="B3" s="724" t="s">
        <v>1135</v>
      </c>
      <c r="C3" s="754"/>
      <c r="D3" s="754"/>
      <c r="E3" s="754"/>
      <c r="F3" s="754"/>
      <c r="G3" s="754"/>
      <c r="H3" s="754"/>
      <c r="I3" s="754"/>
      <c r="J3" s="754"/>
      <c r="K3" s="755"/>
    </row>
    <row r="4" spans="1:12" x14ac:dyDescent="0.25">
      <c r="A4" s="761"/>
      <c r="B4" s="783" t="s">
        <v>2025</v>
      </c>
      <c r="C4" s="784"/>
      <c r="D4" s="784"/>
      <c r="E4" s="784"/>
      <c r="F4" s="784"/>
      <c r="G4" s="784"/>
      <c r="H4" s="784"/>
      <c r="I4" s="784"/>
      <c r="J4" s="784"/>
      <c r="K4" s="785"/>
      <c r="L4" s="760"/>
    </row>
    <row r="5" spans="1:12" x14ac:dyDescent="0.25">
      <c r="A5" s="761"/>
      <c r="B5" s="1344" t="s">
        <v>4</v>
      </c>
      <c r="C5" s="1344"/>
      <c r="D5" s="1344"/>
      <c r="E5" s="1344"/>
      <c r="F5" s="1344"/>
      <c r="G5" s="1344"/>
      <c r="H5" s="1344"/>
      <c r="I5" s="1344"/>
      <c r="J5" s="1344"/>
      <c r="K5" s="785"/>
      <c r="L5" s="760"/>
    </row>
    <row r="6" spans="1:12" x14ac:dyDescent="0.25">
      <c r="A6" s="713"/>
      <c r="B6" s="786"/>
      <c r="C6" s="729"/>
      <c r="D6" s="729"/>
      <c r="E6" s="729"/>
      <c r="F6" s="729"/>
      <c r="G6" s="729"/>
      <c r="H6" s="729"/>
      <c r="I6" s="729"/>
      <c r="J6" s="764"/>
      <c r="K6" s="764"/>
      <c r="L6" s="748"/>
    </row>
    <row r="7" spans="1:12" x14ac:dyDescent="0.25">
      <c r="A7" s="713"/>
      <c r="B7" s="786"/>
      <c r="C7" s="729"/>
      <c r="D7" s="729"/>
      <c r="E7" s="729"/>
      <c r="F7" s="729"/>
      <c r="G7" s="729"/>
      <c r="H7" s="751" t="s">
        <v>1136</v>
      </c>
      <c r="I7" s="763">
        <v>2025</v>
      </c>
      <c r="J7" s="764"/>
      <c r="K7" s="764"/>
      <c r="L7" s="748"/>
    </row>
    <row r="8" spans="1:12" x14ac:dyDescent="0.25">
      <c r="A8" s="713"/>
      <c r="B8" s="786"/>
      <c r="C8" s="729"/>
      <c r="D8" s="729"/>
      <c r="E8" s="729"/>
      <c r="F8" s="729"/>
      <c r="G8" s="729"/>
      <c r="H8" s="751" t="s">
        <v>1228</v>
      </c>
      <c r="I8" s="787" t="s">
        <v>947</v>
      </c>
      <c r="J8" s="764"/>
      <c r="K8" s="764"/>
      <c r="L8" s="748"/>
    </row>
    <row r="9" spans="1:12" x14ac:dyDescent="0.25">
      <c r="A9" s="713"/>
      <c r="B9" s="713"/>
      <c r="C9" s="713"/>
      <c r="D9" s="713"/>
      <c r="E9" s="713"/>
      <c r="F9" s="713"/>
      <c r="G9" s="713"/>
      <c r="H9" s="750" t="s">
        <v>1229</v>
      </c>
      <c r="I9" s="788"/>
      <c r="J9" s="764"/>
      <c r="K9" s="764"/>
      <c r="L9" s="748"/>
    </row>
    <row r="10" spans="1:12" x14ac:dyDescent="0.25">
      <c r="A10" s="713"/>
      <c r="B10" s="713"/>
      <c r="C10" s="713"/>
      <c r="D10" s="713"/>
      <c r="E10" s="713"/>
      <c r="F10" s="713"/>
      <c r="G10" s="713"/>
      <c r="H10" s="750"/>
      <c r="I10" s="750"/>
      <c r="J10" s="764"/>
      <c r="K10" s="764"/>
      <c r="L10" s="748"/>
    </row>
    <row r="11" spans="1:12" x14ac:dyDescent="0.25">
      <c r="A11" s="729"/>
      <c r="B11" s="765" t="s">
        <v>1137</v>
      </c>
      <c r="C11" s="765" t="s">
        <v>1138</v>
      </c>
      <c r="D11" s="765" t="s">
        <v>1139</v>
      </c>
      <c r="E11" s="765" t="s">
        <v>1140</v>
      </c>
      <c r="F11" s="765" t="s">
        <v>1141</v>
      </c>
      <c r="G11" s="765" t="s">
        <v>1142</v>
      </c>
      <c r="H11" s="765" t="s">
        <v>1143</v>
      </c>
      <c r="I11" s="765" t="s">
        <v>1144</v>
      </c>
      <c r="J11" s="764"/>
      <c r="K11" s="764"/>
      <c r="L11" s="748"/>
    </row>
    <row r="12" spans="1:12" ht="15.75" thickBot="1" x14ac:dyDescent="0.3">
      <c r="A12" s="713"/>
      <c r="B12" s="729"/>
      <c r="C12" s="729"/>
      <c r="D12" s="713"/>
      <c r="E12" s="713"/>
      <c r="F12" s="713"/>
      <c r="G12" s="713"/>
      <c r="H12" s="713"/>
      <c r="I12" s="713"/>
      <c r="J12" s="764"/>
      <c r="K12" s="764"/>
      <c r="L12" s="748"/>
    </row>
    <row r="13" spans="1:12" ht="15.75" thickBot="1" x14ac:dyDescent="0.3">
      <c r="A13" s="713"/>
      <c r="B13" s="729"/>
      <c r="C13" s="729"/>
      <c r="D13" s="1348" t="s">
        <v>1248</v>
      </c>
      <c r="E13" s="1349"/>
      <c r="F13" s="1349"/>
      <c r="G13" s="1349"/>
      <c r="H13" s="1349"/>
      <c r="I13" s="1350"/>
      <c r="J13" s="764"/>
      <c r="K13" s="764"/>
      <c r="L13" s="748"/>
    </row>
    <row r="14" spans="1:12" ht="15.75" thickBot="1" x14ac:dyDescent="0.3">
      <c r="A14" s="713"/>
      <c r="B14" s="729"/>
      <c r="C14" s="729"/>
      <c r="D14" s="768"/>
      <c r="E14" s="768"/>
      <c r="F14" s="789" t="s">
        <v>1231</v>
      </c>
      <c r="G14" s="790" t="s">
        <v>1232</v>
      </c>
      <c r="H14" s="789" t="s">
        <v>1249</v>
      </c>
      <c r="I14" s="789" t="s">
        <v>1234</v>
      </c>
      <c r="J14" s="764"/>
      <c r="K14" s="764"/>
      <c r="L14" s="748"/>
    </row>
    <row r="15" spans="1:12" ht="51.75" thickBot="1" x14ac:dyDescent="0.3">
      <c r="A15" s="770" t="s">
        <v>1153</v>
      </c>
      <c r="B15" s="796" t="s">
        <v>1154</v>
      </c>
      <c r="C15" s="771" t="s">
        <v>1155</v>
      </c>
      <c r="D15" s="772" t="s">
        <v>1235</v>
      </c>
      <c r="E15" s="772" t="s">
        <v>1236</v>
      </c>
      <c r="F15" s="772" t="s">
        <v>1237</v>
      </c>
      <c r="G15" s="772" t="s">
        <v>1238</v>
      </c>
      <c r="H15" s="772" t="s">
        <v>1239</v>
      </c>
      <c r="I15" s="772" t="s">
        <v>1240</v>
      </c>
      <c r="J15" s="796" t="s">
        <v>8</v>
      </c>
      <c r="K15" s="770" t="s">
        <v>1153</v>
      </c>
      <c r="L15" s="743"/>
    </row>
    <row r="16" spans="1:12" x14ac:dyDescent="0.25">
      <c r="A16" s="728">
        <v>1</v>
      </c>
      <c r="B16" s="713" t="s">
        <v>1167</v>
      </c>
      <c r="C16" s="735"/>
      <c r="D16" s="713"/>
      <c r="E16" s="713"/>
      <c r="F16" s="713"/>
      <c r="G16" s="713"/>
      <c r="H16" s="713"/>
      <c r="I16" s="713"/>
      <c r="J16" s="713"/>
      <c r="K16" s="728">
        <v>1</v>
      </c>
      <c r="L16" s="748"/>
    </row>
    <row r="17" spans="1:12" x14ac:dyDescent="0.25">
      <c r="A17" s="728">
        <f t="shared" ref="A17:A47" si="0">+A16+1</f>
        <v>2</v>
      </c>
      <c r="B17" s="713" t="s">
        <v>1168</v>
      </c>
      <c r="C17" s="728"/>
      <c r="D17" s="718"/>
      <c r="E17" s="718"/>
      <c r="F17" s="713"/>
      <c r="G17" s="713"/>
      <c r="H17" s="713"/>
      <c r="I17" s="713"/>
      <c r="J17" s="729"/>
      <c r="K17" s="728">
        <f t="shared" ref="K17:K47" si="1">+K16+1</f>
        <v>2</v>
      </c>
      <c r="L17" s="748"/>
    </row>
    <row r="18" spans="1:12" x14ac:dyDescent="0.25">
      <c r="A18" s="728">
        <f t="shared" si="0"/>
        <v>3</v>
      </c>
      <c r="B18" s="713" t="s">
        <v>1169</v>
      </c>
      <c r="C18" s="728">
        <v>190</v>
      </c>
      <c r="D18" s="718"/>
      <c r="E18" s="718"/>
      <c r="F18" s="713">
        <f t="shared" ref="F18:F20" si="2">+D18*$I$9</f>
        <v>0</v>
      </c>
      <c r="G18" s="713">
        <f t="shared" ref="G18:G20" si="3">+E18-F18</f>
        <v>0</v>
      </c>
      <c r="H18" s="713">
        <f>IF(+$I$8="No",0,'Order 864-3'!K15)</f>
        <v>0</v>
      </c>
      <c r="I18" s="713">
        <f t="shared" ref="I18:I20" si="4">+G18-H18</f>
        <v>0</v>
      </c>
      <c r="J18" s="729" t="s">
        <v>263</v>
      </c>
      <c r="K18" s="728">
        <f t="shared" si="1"/>
        <v>3</v>
      </c>
      <c r="L18" s="748"/>
    </row>
    <row r="19" spans="1:12" x14ac:dyDescent="0.25">
      <c r="A19" s="728">
        <f t="shared" si="0"/>
        <v>4</v>
      </c>
      <c r="B19" s="713" t="s">
        <v>1170</v>
      </c>
      <c r="C19" s="728">
        <v>190</v>
      </c>
      <c r="D19" s="718"/>
      <c r="E19" s="718"/>
      <c r="F19" s="713">
        <f t="shared" si="2"/>
        <v>0</v>
      </c>
      <c r="G19" s="713">
        <f t="shared" si="3"/>
        <v>0</v>
      </c>
      <c r="H19" s="713">
        <f>IF(+$I$8="No",0,'Order 864-3'!K16)</f>
        <v>0</v>
      </c>
      <c r="I19" s="713">
        <f t="shared" si="4"/>
        <v>0</v>
      </c>
      <c r="J19" s="729" t="s">
        <v>263</v>
      </c>
      <c r="K19" s="728">
        <f t="shared" si="1"/>
        <v>4</v>
      </c>
      <c r="L19" s="748"/>
    </row>
    <row r="20" spans="1:12" x14ac:dyDescent="0.25">
      <c r="A20" s="728">
        <f t="shared" si="0"/>
        <v>5</v>
      </c>
      <c r="B20" s="713" t="s">
        <v>1171</v>
      </c>
      <c r="C20" s="728">
        <v>190</v>
      </c>
      <c r="D20" s="718"/>
      <c r="E20" s="718"/>
      <c r="F20" s="713">
        <f t="shared" si="2"/>
        <v>0</v>
      </c>
      <c r="G20" s="713">
        <f t="shared" si="3"/>
        <v>0</v>
      </c>
      <c r="H20" s="713">
        <f>IF(+$I$8="No",0,'Order 864-3'!K17)</f>
        <v>0</v>
      </c>
      <c r="I20" s="713">
        <f t="shared" si="4"/>
        <v>0</v>
      </c>
      <c r="J20" s="729" t="s">
        <v>263</v>
      </c>
      <c r="K20" s="728">
        <f t="shared" si="1"/>
        <v>5</v>
      </c>
      <c r="L20" s="748"/>
    </row>
    <row r="21" spans="1:12" x14ac:dyDescent="0.25">
      <c r="A21" s="728">
        <f t="shared" si="0"/>
        <v>6</v>
      </c>
      <c r="B21" s="713" t="s">
        <v>1172</v>
      </c>
      <c r="C21" s="728"/>
      <c r="D21" s="718"/>
      <c r="E21" s="718"/>
      <c r="F21" s="713"/>
      <c r="G21" s="713"/>
      <c r="H21" s="713"/>
      <c r="I21" s="713"/>
      <c r="J21" s="729"/>
      <c r="K21" s="728">
        <f t="shared" si="1"/>
        <v>6</v>
      </c>
      <c r="L21" s="748"/>
    </row>
    <row r="22" spans="1:12" x14ac:dyDescent="0.25">
      <c r="A22" s="728">
        <f t="shared" si="0"/>
        <v>7</v>
      </c>
      <c r="B22" s="713" t="s">
        <v>1173</v>
      </c>
      <c r="C22" s="728">
        <v>190</v>
      </c>
      <c r="D22" s="718"/>
      <c r="E22" s="718"/>
      <c r="F22" s="713">
        <f t="shared" ref="F22" si="5">+D22*$I$9</f>
        <v>0</v>
      </c>
      <c r="G22" s="713">
        <f t="shared" ref="G22" si="6">+E22-F22</f>
        <v>0</v>
      </c>
      <c r="H22" s="713">
        <f>IF(+$I$8="No",0,'Order 864-3'!K19)</f>
        <v>0</v>
      </c>
      <c r="I22" s="713">
        <f t="shared" ref="I22" si="7">+G22-H22</f>
        <v>0</v>
      </c>
      <c r="J22" s="729" t="s">
        <v>263</v>
      </c>
      <c r="K22" s="728">
        <f t="shared" si="1"/>
        <v>7</v>
      </c>
      <c r="L22" s="748"/>
    </row>
    <row r="23" spans="1:12" x14ac:dyDescent="0.25">
      <c r="A23" s="728">
        <f t="shared" si="0"/>
        <v>8</v>
      </c>
      <c r="B23" s="713" t="s">
        <v>1174</v>
      </c>
      <c r="C23" s="728"/>
      <c r="D23" s="718"/>
      <c r="E23" s="718"/>
      <c r="F23" s="713"/>
      <c r="G23" s="713"/>
      <c r="H23" s="713"/>
      <c r="I23" s="713"/>
      <c r="J23" s="729"/>
      <c r="K23" s="728">
        <f t="shared" si="1"/>
        <v>8</v>
      </c>
      <c r="L23" s="748"/>
    </row>
    <row r="24" spans="1:12" x14ac:dyDescent="0.25">
      <c r="A24" s="728">
        <f t="shared" si="0"/>
        <v>9</v>
      </c>
      <c r="B24" s="713" t="s">
        <v>1175</v>
      </c>
      <c r="C24" s="728">
        <v>283</v>
      </c>
      <c r="D24" s="718"/>
      <c r="E24" s="718"/>
      <c r="F24" s="713">
        <f t="shared" ref="F24:F25" si="8">+D24*$I$9</f>
        <v>0</v>
      </c>
      <c r="G24" s="713">
        <f t="shared" ref="G24:G25" si="9">+E24-F24</f>
        <v>0</v>
      </c>
      <c r="H24" s="713">
        <f>IF(+$I$8="No",0,'Order 864-3'!K21)</f>
        <v>0</v>
      </c>
      <c r="I24" s="713">
        <f t="shared" ref="I24:I25" si="10">+G24-H24</f>
        <v>0</v>
      </c>
      <c r="J24" s="729" t="s">
        <v>263</v>
      </c>
      <c r="K24" s="728">
        <f t="shared" si="1"/>
        <v>9</v>
      </c>
      <c r="L24" s="748"/>
    </row>
    <row r="25" spans="1:12" x14ac:dyDescent="0.25">
      <c r="A25" s="728">
        <f t="shared" si="0"/>
        <v>10</v>
      </c>
      <c r="B25" s="713" t="s">
        <v>1176</v>
      </c>
      <c r="C25" s="728">
        <v>283</v>
      </c>
      <c r="D25" s="746"/>
      <c r="E25" s="746"/>
      <c r="F25" s="747">
        <f t="shared" si="8"/>
        <v>0</v>
      </c>
      <c r="G25" s="747">
        <f t="shared" si="9"/>
        <v>0</v>
      </c>
      <c r="H25" s="747">
        <f>IF(+$I$8="No",0,'Order 864-3'!K22)</f>
        <v>0</v>
      </c>
      <c r="I25" s="747">
        <f t="shared" si="10"/>
        <v>0</v>
      </c>
      <c r="J25" s="729" t="s">
        <v>263</v>
      </c>
      <c r="K25" s="728">
        <f t="shared" si="1"/>
        <v>10</v>
      </c>
      <c r="L25" s="748"/>
    </row>
    <row r="26" spans="1:12" x14ac:dyDescent="0.25">
      <c r="A26" s="728">
        <f t="shared" si="0"/>
        <v>11</v>
      </c>
      <c r="B26" s="729"/>
      <c r="C26" s="730"/>
      <c r="D26" s="713"/>
      <c r="E26" s="713"/>
      <c r="F26" s="713"/>
      <c r="G26" s="713"/>
      <c r="H26" s="713"/>
      <c r="I26" s="713"/>
      <c r="J26" s="713"/>
      <c r="K26" s="728">
        <f t="shared" si="1"/>
        <v>11</v>
      </c>
      <c r="L26" s="748"/>
    </row>
    <row r="27" spans="1:12" ht="15.75" thickBot="1" x14ac:dyDescent="0.3">
      <c r="A27" s="728">
        <f t="shared" si="0"/>
        <v>12</v>
      </c>
      <c r="B27" s="729" t="s">
        <v>1177</v>
      </c>
      <c r="C27" s="730"/>
      <c r="D27" s="711">
        <f>SUM(D17:D25)</f>
        <v>0</v>
      </c>
      <c r="E27" s="711">
        <f t="shared" ref="E27:I27" si="11">SUM(E17:E25)</f>
        <v>0</v>
      </c>
      <c r="F27" s="711">
        <f t="shared" si="11"/>
        <v>0</v>
      </c>
      <c r="G27" s="711">
        <f t="shared" si="11"/>
        <v>0</v>
      </c>
      <c r="H27" s="711">
        <f t="shared" si="11"/>
        <v>0</v>
      </c>
      <c r="I27" s="711">
        <f t="shared" si="11"/>
        <v>0</v>
      </c>
      <c r="J27" s="729" t="s">
        <v>1178</v>
      </c>
      <c r="K27" s="728">
        <f t="shared" si="1"/>
        <v>12</v>
      </c>
      <c r="L27" s="748"/>
    </row>
    <row r="28" spans="1:12" ht="15.75" thickTop="1" x14ac:dyDescent="0.25">
      <c r="A28" s="728">
        <f t="shared" si="0"/>
        <v>13</v>
      </c>
      <c r="B28" s="744"/>
      <c r="C28" s="730"/>
      <c r="D28" s="733"/>
      <c r="E28" s="733"/>
      <c r="F28" s="733"/>
      <c r="G28" s="733"/>
      <c r="H28" s="733"/>
      <c r="I28" s="733"/>
      <c r="J28" s="713"/>
      <c r="K28" s="728">
        <f t="shared" si="1"/>
        <v>13</v>
      </c>
      <c r="L28" s="748"/>
    </row>
    <row r="29" spans="1:12" x14ac:dyDescent="0.25">
      <c r="A29" s="728">
        <f t="shared" si="0"/>
        <v>14</v>
      </c>
      <c r="B29" s="713" t="s">
        <v>1179</v>
      </c>
      <c r="C29" s="734"/>
      <c r="D29" s="713"/>
      <c r="E29" s="713"/>
      <c r="F29" s="713"/>
      <c r="G29" s="713"/>
      <c r="H29" s="713"/>
      <c r="I29" s="713"/>
      <c r="J29" s="713"/>
      <c r="K29" s="728">
        <f t="shared" si="1"/>
        <v>14</v>
      </c>
      <c r="L29" s="748"/>
    </row>
    <row r="30" spans="1:12" x14ac:dyDescent="0.25">
      <c r="A30" s="728">
        <f t="shared" si="0"/>
        <v>15</v>
      </c>
      <c r="B30" s="713" t="s">
        <v>1180</v>
      </c>
      <c r="C30" s="728">
        <v>190</v>
      </c>
      <c r="D30" s="791"/>
      <c r="E30" s="718"/>
      <c r="F30" s="713">
        <f>+D30*$I$9</f>
        <v>0</v>
      </c>
      <c r="G30" s="713">
        <f>+E30-F30</f>
        <v>0</v>
      </c>
      <c r="H30" s="713">
        <f>IF(+$I$8="No",0,'Order 864-3'!K27)</f>
        <v>0</v>
      </c>
      <c r="I30" s="713">
        <f>+G30-H30</f>
        <v>0</v>
      </c>
      <c r="J30" s="729" t="s">
        <v>263</v>
      </c>
      <c r="K30" s="728">
        <f t="shared" si="1"/>
        <v>15</v>
      </c>
      <c r="L30" s="748"/>
    </row>
    <row r="31" spans="1:12" x14ac:dyDescent="0.25">
      <c r="A31" s="728">
        <f t="shared" si="0"/>
        <v>16</v>
      </c>
      <c r="B31" s="713" t="s">
        <v>1181</v>
      </c>
      <c r="C31" s="728"/>
      <c r="D31" s="791"/>
      <c r="E31" s="718"/>
      <c r="F31" s="713"/>
      <c r="G31" s="713"/>
      <c r="H31" s="713"/>
      <c r="I31" s="713"/>
      <c r="J31" s="729"/>
      <c r="K31" s="728">
        <f t="shared" si="1"/>
        <v>16</v>
      </c>
      <c r="L31" s="748"/>
    </row>
    <row r="32" spans="1:12" x14ac:dyDescent="0.25">
      <c r="A32" s="728">
        <f t="shared" si="0"/>
        <v>17</v>
      </c>
      <c r="B32" s="713" t="s">
        <v>1182</v>
      </c>
      <c r="C32" s="728">
        <v>282</v>
      </c>
      <c r="D32" s="791"/>
      <c r="E32" s="718"/>
      <c r="F32" s="713">
        <f t="shared" ref="F32:F33" si="12">+D32*$I$9</f>
        <v>0</v>
      </c>
      <c r="G32" s="713">
        <f t="shared" ref="G32:G33" si="13">+E32-F32</f>
        <v>0</v>
      </c>
      <c r="H32" s="713">
        <f>IF(+$I$8="No",0,'Order 864-3'!K29)</f>
        <v>0</v>
      </c>
      <c r="I32" s="713">
        <f t="shared" ref="I32:I33" si="14">+G32-H32</f>
        <v>0</v>
      </c>
      <c r="J32" s="729" t="s">
        <v>263</v>
      </c>
      <c r="K32" s="728">
        <f t="shared" si="1"/>
        <v>17</v>
      </c>
      <c r="L32" s="748"/>
    </row>
    <row r="33" spans="1:12" x14ac:dyDescent="0.25">
      <c r="A33" s="728">
        <f t="shared" si="0"/>
        <v>18</v>
      </c>
      <c r="B33" s="713" t="s">
        <v>1183</v>
      </c>
      <c r="C33" s="728">
        <v>282</v>
      </c>
      <c r="D33" s="791"/>
      <c r="E33" s="718"/>
      <c r="F33" s="713">
        <f t="shared" si="12"/>
        <v>0</v>
      </c>
      <c r="G33" s="713">
        <f t="shared" si="13"/>
        <v>0</v>
      </c>
      <c r="H33" s="713">
        <f>IF(+$I$8="No",0,'Order 864-3'!K30)</f>
        <v>0</v>
      </c>
      <c r="I33" s="713">
        <f t="shared" si="14"/>
        <v>0</v>
      </c>
      <c r="J33" s="729" t="s">
        <v>263</v>
      </c>
      <c r="K33" s="728">
        <f t="shared" si="1"/>
        <v>18</v>
      </c>
      <c r="L33" s="748"/>
    </row>
    <row r="34" spans="1:12" x14ac:dyDescent="0.25">
      <c r="A34" s="728">
        <f t="shared" si="0"/>
        <v>19</v>
      </c>
      <c r="B34" s="729" t="s">
        <v>1184</v>
      </c>
      <c r="C34" s="730"/>
      <c r="D34" s="721">
        <f t="shared" ref="D34:I34" si="15">SUM(D30:D33)</f>
        <v>0</v>
      </c>
      <c r="E34" s="721">
        <f t="shared" si="15"/>
        <v>0</v>
      </c>
      <c r="F34" s="721">
        <f t="shared" si="15"/>
        <v>0</v>
      </c>
      <c r="G34" s="721">
        <f t="shared" si="15"/>
        <v>0</v>
      </c>
      <c r="H34" s="721">
        <f t="shared" si="15"/>
        <v>0</v>
      </c>
      <c r="I34" s="721">
        <f t="shared" si="15"/>
        <v>0</v>
      </c>
      <c r="J34" s="729" t="s">
        <v>1250</v>
      </c>
      <c r="K34" s="728">
        <f t="shared" si="1"/>
        <v>19</v>
      </c>
      <c r="L34" s="748"/>
    </row>
    <row r="35" spans="1:12" x14ac:dyDescent="0.25">
      <c r="A35" s="728">
        <f t="shared" si="0"/>
        <v>20</v>
      </c>
      <c r="B35" s="713"/>
      <c r="C35" s="730"/>
      <c r="D35" s="713"/>
      <c r="E35" s="713"/>
      <c r="F35" s="713"/>
      <c r="G35" s="713"/>
      <c r="H35" s="713"/>
      <c r="I35" s="713"/>
      <c r="J35" s="713"/>
      <c r="K35" s="728">
        <f t="shared" si="1"/>
        <v>20</v>
      </c>
      <c r="L35" s="748"/>
    </row>
    <row r="36" spans="1:12" x14ac:dyDescent="0.25">
      <c r="A36" s="728">
        <f t="shared" si="0"/>
        <v>21</v>
      </c>
      <c r="B36" s="713" t="s">
        <v>1186</v>
      </c>
      <c r="C36" s="735"/>
      <c r="D36" s="713"/>
      <c r="E36" s="713"/>
      <c r="F36" s="713"/>
      <c r="G36" s="713"/>
      <c r="H36" s="713"/>
      <c r="I36" s="713"/>
      <c r="J36" s="713"/>
      <c r="K36" s="728">
        <f t="shared" si="1"/>
        <v>21</v>
      </c>
      <c r="L36" s="748"/>
    </row>
    <row r="37" spans="1:12" x14ac:dyDescent="0.25">
      <c r="A37" s="728">
        <f t="shared" si="0"/>
        <v>22</v>
      </c>
      <c r="B37" s="713" t="s">
        <v>1187</v>
      </c>
      <c r="C37" s="728">
        <v>282</v>
      </c>
      <c r="D37" s="718"/>
      <c r="E37" s="718"/>
      <c r="F37" s="713">
        <f t="shared" ref="F37:F39" si="16">+D37*$I$9</f>
        <v>0</v>
      </c>
      <c r="G37" s="713">
        <f t="shared" ref="G37:G39" si="17">+E37-F37</f>
        <v>0</v>
      </c>
      <c r="H37" s="713">
        <f>IF(+$I$8="No",0,'Order 864-3'!K34)</f>
        <v>0</v>
      </c>
      <c r="I37" s="713">
        <f t="shared" ref="I37:I39" si="18">+G37-H37</f>
        <v>0</v>
      </c>
      <c r="J37" s="729" t="s">
        <v>263</v>
      </c>
      <c r="K37" s="728">
        <f t="shared" si="1"/>
        <v>22</v>
      </c>
      <c r="L37" s="748"/>
    </row>
    <row r="38" spans="1:12" x14ac:dyDescent="0.25">
      <c r="A38" s="728">
        <f t="shared" si="0"/>
        <v>23</v>
      </c>
      <c r="B38" s="713" t="s">
        <v>1188</v>
      </c>
      <c r="C38" s="728">
        <v>282</v>
      </c>
      <c r="D38" s="718"/>
      <c r="E38" s="718"/>
      <c r="F38" s="713">
        <f t="shared" si="16"/>
        <v>0</v>
      </c>
      <c r="G38" s="713">
        <f t="shared" si="17"/>
        <v>0</v>
      </c>
      <c r="H38" s="713">
        <f>IF(+$I$8="No",0,'Order 864-3'!K35)</f>
        <v>0</v>
      </c>
      <c r="I38" s="713">
        <f t="shared" si="18"/>
        <v>0</v>
      </c>
      <c r="J38" s="729" t="s">
        <v>263</v>
      </c>
      <c r="K38" s="728">
        <f t="shared" si="1"/>
        <v>23</v>
      </c>
      <c r="L38" s="748"/>
    </row>
    <row r="39" spans="1:12" x14ac:dyDescent="0.25">
      <c r="A39" s="728">
        <f t="shared" si="0"/>
        <v>24</v>
      </c>
      <c r="B39" s="713" t="s">
        <v>1189</v>
      </c>
      <c r="C39" s="736">
        <v>282</v>
      </c>
      <c r="D39" s="718"/>
      <c r="E39" s="718"/>
      <c r="F39" s="713">
        <f t="shared" si="16"/>
        <v>0</v>
      </c>
      <c r="G39" s="713">
        <f t="shared" si="17"/>
        <v>0</v>
      </c>
      <c r="H39" s="713">
        <f>IF(+$I$8="No",0,'Order 864-3'!K36)</f>
        <v>0</v>
      </c>
      <c r="I39" s="713">
        <f t="shared" si="18"/>
        <v>0</v>
      </c>
      <c r="J39" s="729" t="s">
        <v>263</v>
      </c>
      <c r="K39" s="728">
        <f t="shared" si="1"/>
        <v>24</v>
      </c>
      <c r="L39" s="748"/>
    </row>
    <row r="40" spans="1:12" x14ac:dyDescent="0.25">
      <c r="A40" s="728">
        <f t="shared" si="0"/>
        <v>25</v>
      </c>
      <c r="B40" s="729" t="s">
        <v>1184</v>
      </c>
      <c r="C40" s="730"/>
      <c r="D40" s="721">
        <f t="shared" ref="D40:I40" si="19">SUM(D37:D39)</f>
        <v>0</v>
      </c>
      <c r="E40" s="721">
        <f t="shared" si="19"/>
        <v>0</v>
      </c>
      <c r="F40" s="721">
        <f t="shared" si="19"/>
        <v>0</v>
      </c>
      <c r="G40" s="721">
        <f t="shared" si="19"/>
        <v>0</v>
      </c>
      <c r="H40" s="721">
        <f t="shared" si="19"/>
        <v>0</v>
      </c>
      <c r="I40" s="721">
        <f t="shared" si="19"/>
        <v>0</v>
      </c>
      <c r="J40" s="729" t="s">
        <v>1251</v>
      </c>
      <c r="K40" s="728">
        <f t="shared" si="1"/>
        <v>25</v>
      </c>
      <c r="L40" s="748"/>
    </row>
    <row r="41" spans="1:12" x14ac:dyDescent="0.25">
      <c r="A41" s="728">
        <f t="shared" si="0"/>
        <v>26</v>
      </c>
      <c r="B41" s="744"/>
      <c r="C41" s="730"/>
      <c r="D41" s="780"/>
      <c r="E41" s="780"/>
      <c r="F41" s="780"/>
      <c r="G41" s="780"/>
      <c r="H41" s="780"/>
      <c r="I41" s="780"/>
      <c r="J41" s="713"/>
      <c r="K41" s="728">
        <f t="shared" si="1"/>
        <v>26</v>
      </c>
      <c r="L41" s="748"/>
    </row>
    <row r="42" spans="1:12" x14ac:dyDescent="0.25">
      <c r="A42" s="728">
        <f t="shared" si="0"/>
        <v>27</v>
      </c>
      <c r="B42" s="713" t="s">
        <v>1186</v>
      </c>
      <c r="C42" s="730"/>
      <c r="D42" s="713"/>
      <c r="E42" s="713"/>
      <c r="F42" s="713"/>
      <c r="G42" s="713"/>
      <c r="H42" s="713"/>
      <c r="I42" s="713"/>
      <c r="J42" s="713"/>
      <c r="K42" s="728">
        <f t="shared" si="1"/>
        <v>27</v>
      </c>
      <c r="L42" s="748"/>
    </row>
    <row r="43" spans="1:12" x14ac:dyDescent="0.25">
      <c r="A43" s="728">
        <f t="shared" si="0"/>
        <v>28</v>
      </c>
      <c r="B43" s="713" t="s">
        <v>1191</v>
      </c>
      <c r="C43" s="736">
        <v>282</v>
      </c>
      <c r="D43" s="792"/>
      <c r="E43" s="792"/>
      <c r="F43" s="793">
        <f t="shared" ref="F43" si="20">+D43*$I$9</f>
        <v>0</v>
      </c>
      <c r="G43" s="793">
        <f>+E43-F43</f>
        <v>0</v>
      </c>
      <c r="H43" s="793">
        <f>IF(+$I$8="No",0,'Order 864-3'!K40)</f>
        <v>0</v>
      </c>
      <c r="I43" s="793">
        <f>+G43-H43</f>
        <v>0</v>
      </c>
      <c r="J43" s="729" t="s">
        <v>263</v>
      </c>
      <c r="K43" s="728">
        <f t="shared" si="1"/>
        <v>28</v>
      </c>
      <c r="L43" s="748"/>
    </row>
    <row r="44" spans="1:12" x14ac:dyDescent="0.25">
      <c r="A44" s="728">
        <f t="shared" si="0"/>
        <v>29</v>
      </c>
      <c r="B44" s="713"/>
      <c r="C44" s="730"/>
      <c r="D44" s="737"/>
      <c r="E44" s="737"/>
      <c r="F44" s="737"/>
      <c r="G44" s="737"/>
      <c r="H44" s="737"/>
      <c r="I44" s="737"/>
      <c r="J44" s="713"/>
      <c r="K44" s="728">
        <f t="shared" si="1"/>
        <v>29</v>
      </c>
      <c r="L44" s="748"/>
    </row>
    <row r="45" spans="1:12" ht="15.75" thickBot="1" x14ac:dyDescent="0.3">
      <c r="A45" s="728">
        <f t="shared" si="0"/>
        <v>30</v>
      </c>
      <c r="B45" s="729" t="s">
        <v>1192</v>
      </c>
      <c r="C45" s="730"/>
      <c r="D45" s="732">
        <f t="shared" ref="D45:I45" si="21">D34+D40+D43</f>
        <v>0</v>
      </c>
      <c r="E45" s="732">
        <f t="shared" si="21"/>
        <v>0</v>
      </c>
      <c r="F45" s="732">
        <f t="shared" si="21"/>
        <v>0</v>
      </c>
      <c r="G45" s="732">
        <f t="shared" si="21"/>
        <v>0</v>
      </c>
      <c r="H45" s="732">
        <f t="shared" si="21"/>
        <v>0</v>
      </c>
      <c r="I45" s="732">
        <f t="shared" si="21"/>
        <v>0</v>
      </c>
      <c r="J45" s="797" t="s">
        <v>1252</v>
      </c>
      <c r="K45" s="728">
        <f t="shared" si="1"/>
        <v>30</v>
      </c>
      <c r="L45" s="748"/>
    </row>
    <row r="46" spans="1:12" ht="15.75" thickTop="1" x14ac:dyDescent="0.25">
      <c r="A46" s="728">
        <f t="shared" si="0"/>
        <v>31</v>
      </c>
      <c r="B46" s="713"/>
      <c r="C46" s="730"/>
      <c r="D46" s="713"/>
      <c r="E46" s="713"/>
      <c r="F46" s="713"/>
      <c r="G46" s="713"/>
      <c r="H46" s="713"/>
      <c r="I46" s="713"/>
      <c r="J46" s="713"/>
      <c r="K46" s="728">
        <f t="shared" si="1"/>
        <v>31</v>
      </c>
      <c r="L46" s="748"/>
    </row>
    <row r="47" spans="1:12" ht="15.75" thickBot="1" x14ac:dyDescent="0.3">
      <c r="A47" s="728">
        <f t="shared" si="0"/>
        <v>32</v>
      </c>
      <c r="B47" s="729" t="s">
        <v>1194</v>
      </c>
      <c r="C47" s="713"/>
      <c r="D47" s="732">
        <f t="shared" ref="D47:I47" si="22">D27+D45</f>
        <v>0</v>
      </c>
      <c r="E47" s="732">
        <f t="shared" si="22"/>
        <v>0</v>
      </c>
      <c r="F47" s="732">
        <f t="shared" si="22"/>
        <v>0</v>
      </c>
      <c r="G47" s="732">
        <f t="shared" si="22"/>
        <v>0</v>
      </c>
      <c r="H47" s="732">
        <f t="shared" si="22"/>
        <v>0</v>
      </c>
      <c r="I47" s="732">
        <f t="shared" si="22"/>
        <v>0</v>
      </c>
      <c r="J47" s="729" t="s">
        <v>1253</v>
      </c>
      <c r="K47" s="728">
        <f t="shared" si="1"/>
        <v>32</v>
      </c>
      <c r="L47" s="748"/>
    </row>
    <row r="48" spans="1:12" ht="15.75" thickTop="1" x14ac:dyDescent="0.25">
      <c r="A48" s="775"/>
      <c r="B48" s="713"/>
      <c r="C48" s="713"/>
      <c r="D48" s="713"/>
      <c r="E48" s="713"/>
      <c r="F48" s="713"/>
      <c r="G48" s="713"/>
      <c r="H48" s="713"/>
      <c r="I48" s="713"/>
      <c r="J48" s="748"/>
      <c r="K48" s="748"/>
      <c r="L48" s="748"/>
    </row>
    <row r="49" spans="1:12" x14ac:dyDescent="0.25">
      <c r="A49" s="775"/>
      <c r="B49" s="700" t="s">
        <v>1241</v>
      </c>
      <c r="C49" s="713"/>
      <c r="D49" s="713"/>
      <c r="E49" s="713"/>
      <c r="F49" s="713"/>
      <c r="G49" s="713"/>
      <c r="H49" s="713"/>
      <c r="I49" s="713"/>
      <c r="J49" s="748"/>
      <c r="K49" s="748"/>
      <c r="L49" s="748"/>
    </row>
    <row r="50" spans="1:12" ht="16.5" x14ac:dyDescent="0.35">
      <c r="A50" s="775"/>
      <c r="B50" s="741" t="s">
        <v>1242</v>
      </c>
      <c r="C50" s="713"/>
      <c r="D50" s="713"/>
      <c r="E50" s="713"/>
      <c r="F50" s="713"/>
      <c r="G50" s="713"/>
      <c r="H50" s="713"/>
      <c r="I50" s="713"/>
      <c r="J50" s="748"/>
      <c r="K50" s="748"/>
      <c r="L50" s="748"/>
    </row>
    <row r="51" spans="1:12" x14ac:dyDescent="0.25">
      <c r="A51" s="775"/>
      <c r="B51" s="741" t="s">
        <v>1243</v>
      </c>
      <c r="C51" s="713"/>
      <c r="D51" s="713"/>
      <c r="E51" s="713"/>
      <c r="F51" s="713"/>
      <c r="G51" s="713"/>
      <c r="H51" s="713"/>
      <c r="I51" s="713"/>
      <c r="J51" s="748"/>
      <c r="K51" s="748"/>
      <c r="L51" s="748"/>
    </row>
    <row r="52" spans="1:12" x14ac:dyDescent="0.25">
      <c r="A52" s="775"/>
      <c r="B52" s="700" t="s">
        <v>1196</v>
      </c>
      <c r="C52" s="739"/>
      <c r="D52" s="713"/>
      <c r="E52" s="713"/>
      <c r="F52" s="713"/>
      <c r="G52" s="713"/>
      <c r="H52" s="713"/>
      <c r="I52" s="713"/>
      <c r="J52" s="748"/>
      <c r="K52" s="748"/>
      <c r="L52" s="748"/>
    </row>
    <row r="53" spans="1:12" x14ac:dyDescent="0.25">
      <c r="A53" s="775"/>
      <c r="B53" s="811" t="s">
        <v>1197</v>
      </c>
      <c r="C53" s="740"/>
      <c r="D53" s="740"/>
      <c r="E53" s="740"/>
      <c r="F53" s="713"/>
      <c r="G53" s="713"/>
      <c r="H53" s="713"/>
      <c r="I53" s="713"/>
      <c r="J53" s="748"/>
      <c r="K53" s="748"/>
      <c r="L53" s="748"/>
    </row>
    <row r="54" spans="1:12" x14ac:dyDescent="0.25">
      <c r="A54" s="775"/>
      <c r="B54" s="811" t="s">
        <v>1246</v>
      </c>
      <c r="C54" s="740"/>
      <c r="D54" s="740"/>
      <c r="E54" s="740"/>
      <c r="F54" s="713"/>
      <c r="G54" s="713"/>
      <c r="H54" s="713"/>
      <c r="I54" s="713"/>
      <c r="J54" s="748"/>
      <c r="K54" s="748"/>
      <c r="L54"/>
    </row>
    <row r="55" spans="1:12" x14ac:dyDescent="0.25">
      <c r="A55" s="775"/>
      <c r="B55" s="811" t="s">
        <v>1198</v>
      </c>
      <c r="C55" s="713"/>
      <c r="D55" s="713"/>
      <c r="E55" s="713"/>
      <c r="F55" s="740"/>
      <c r="G55" s="740"/>
      <c r="H55" s="713"/>
      <c r="I55" s="713"/>
      <c r="J55" s="748"/>
      <c r="K55" s="748"/>
      <c r="L55" s="748"/>
    </row>
    <row r="56" spans="1:12" x14ac:dyDescent="0.25">
      <c r="A56" s="740"/>
      <c r="B56" s="811" t="s">
        <v>1199</v>
      </c>
      <c r="C56" s="740"/>
      <c r="D56" s="740"/>
      <c r="E56" s="740"/>
      <c r="F56" s="740"/>
      <c r="G56" s="740"/>
      <c r="H56" s="740"/>
      <c r="I56" s="740"/>
      <c r="J56" s="748"/>
      <c r="K56" s="748"/>
      <c r="L56" s="748"/>
    </row>
    <row r="57" spans="1:12" x14ac:dyDescent="0.25">
      <c r="A57" s="740"/>
      <c r="B57" s="811" t="s">
        <v>1200</v>
      </c>
      <c r="C57" s="740"/>
      <c r="D57" s="740"/>
      <c r="E57" s="740"/>
      <c r="F57" s="740"/>
      <c r="G57" s="740"/>
      <c r="H57" s="740"/>
      <c r="I57" s="740"/>
      <c r="J57" s="748"/>
      <c r="K57" s="748"/>
      <c r="L57" s="748"/>
    </row>
    <row r="58" spans="1:12" x14ac:dyDescent="0.25">
      <c r="A58" s="740"/>
      <c r="B58" s="811" t="s">
        <v>1201</v>
      </c>
      <c r="C58" s="740"/>
      <c r="D58" s="740"/>
      <c r="E58" s="740"/>
      <c r="F58" s="740"/>
      <c r="G58" s="740"/>
      <c r="H58" s="740"/>
      <c r="I58" s="740"/>
      <c r="J58" s="748"/>
      <c r="K58" s="748"/>
      <c r="L58" s="748"/>
    </row>
    <row r="59" spans="1:12" x14ac:dyDescent="0.25">
      <c r="A59" s="740"/>
      <c r="B59" s="811" t="s">
        <v>1202</v>
      </c>
      <c r="C59" s="740"/>
      <c r="D59" s="740"/>
      <c r="E59" s="740"/>
      <c r="F59" s="740"/>
      <c r="G59" s="740"/>
      <c r="H59" s="740"/>
      <c r="I59" s="740"/>
      <c r="J59" s="748"/>
      <c r="K59" s="748"/>
      <c r="L59" s="748"/>
    </row>
    <row r="60" spans="1:12" x14ac:dyDescent="0.25">
      <c r="A60" s="740"/>
      <c r="B60" s="811" t="s">
        <v>1203</v>
      </c>
      <c r="C60" s="748"/>
      <c r="D60" s="748"/>
      <c r="E60" s="748"/>
      <c r="F60" s="740"/>
      <c r="G60" s="740"/>
      <c r="H60" s="740"/>
      <c r="I60" s="740"/>
      <c r="J60" s="748"/>
      <c r="K60" s="748"/>
      <c r="L60" s="748"/>
    </row>
    <row r="61" spans="1:12" x14ac:dyDescent="0.25">
      <c r="A61" s="740"/>
      <c r="B61" s="811" t="s">
        <v>1204</v>
      </c>
      <c r="C61" s="740"/>
      <c r="D61" s="740"/>
      <c r="E61" s="740"/>
      <c r="F61" s="740"/>
      <c r="G61" s="740"/>
      <c r="H61" s="740"/>
      <c r="I61" s="740"/>
      <c r="J61" s="748"/>
      <c r="K61" s="748"/>
      <c r="L61" s="748"/>
    </row>
  </sheetData>
  <mergeCells count="2">
    <mergeCell ref="B5:J5"/>
    <mergeCell ref="D13:I13"/>
  </mergeCells>
  <printOptions horizontalCentered="1"/>
  <pageMargins left="0.25" right="0.25" top="0.5" bottom="0.5" header="0.25" footer="0.25"/>
  <pageSetup scale="58" orientation="landscape" r:id="rId1"/>
  <headerFooter scaleWithDoc="0">
    <oddFooter>&amp;C&amp;"Times New Roman,Regular"&amp;10&amp;A</oddFooter>
  </headerFooter>
  <customProperties>
    <customPr name="_pios_id" r:id="rId2"/>
  </customPropertie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U64"/>
  <sheetViews>
    <sheetView zoomScale="80" zoomScaleNormal="80" workbookViewId="0"/>
  </sheetViews>
  <sheetFormatPr defaultColWidth="9.28515625" defaultRowHeight="15.75" x14ac:dyDescent="0.25"/>
  <cols>
    <col min="1" max="1" width="5.28515625" style="340" customWidth="1"/>
    <col min="2" max="2" width="12.5703125" style="5" customWidth="1"/>
    <col min="3" max="3" width="20" style="5" customWidth="1"/>
    <col min="4" max="7" width="21.5703125" style="5" customWidth="1"/>
    <col min="8" max="8" width="22.7109375" style="5" bestFit="1" customWidth="1"/>
    <col min="9" max="13" width="21.5703125" style="5" customWidth="1"/>
    <col min="14" max="14" width="5.28515625" style="340" customWidth="1"/>
    <col min="15" max="15" width="13.5703125" style="5" customWidth="1"/>
    <col min="16" max="16" width="12.5703125" style="5" customWidth="1"/>
    <col min="17" max="16384" width="9.28515625" style="5"/>
  </cols>
  <sheetData>
    <row r="1" spans="1:14" x14ac:dyDescent="0.25">
      <c r="I1" s="276"/>
    </row>
    <row r="2" spans="1:14" x14ac:dyDescent="0.25">
      <c r="B2" s="1334" t="s">
        <v>0</v>
      </c>
      <c r="C2" s="1334"/>
      <c r="D2" s="1334"/>
      <c r="E2" s="1334"/>
      <c r="F2" s="1334"/>
      <c r="G2" s="1334"/>
      <c r="H2" s="1334"/>
      <c r="I2" s="1334"/>
      <c r="J2" s="1334"/>
      <c r="K2" s="1334"/>
      <c r="L2" s="1334"/>
      <c r="M2" s="1334"/>
      <c r="N2" s="482"/>
    </row>
    <row r="3" spans="1:14" x14ac:dyDescent="0.25">
      <c r="B3" s="1339" t="s">
        <v>2073</v>
      </c>
      <c r="C3" s="1339"/>
      <c r="D3" s="1339"/>
      <c r="E3" s="1339"/>
      <c r="F3" s="1339"/>
      <c r="G3" s="1339"/>
      <c r="H3" s="1339"/>
      <c r="I3" s="1339"/>
      <c r="J3" s="1339"/>
      <c r="K3" s="1339"/>
      <c r="L3" s="1339"/>
      <c r="M3" s="1339"/>
      <c r="N3" s="482"/>
    </row>
    <row r="4" spans="1:14" x14ac:dyDescent="0.25">
      <c r="B4" s="1339" t="s">
        <v>2074</v>
      </c>
      <c r="C4" s="1339"/>
      <c r="D4" s="1339"/>
      <c r="E4" s="1339"/>
      <c r="F4" s="1339"/>
      <c r="G4" s="1339"/>
      <c r="H4" s="1339"/>
      <c r="I4" s="1339"/>
      <c r="J4" s="1339"/>
      <c r="K4" s="1339"/>
      <c r="L4" s="1339"/>
      <c r="M4" s="1339"/>
      <c r="N4" s="482"/>
    </row>
    <row r="5" spans="1:14" x14ac:dyDescent="0.25">
      <c r="B5" s="1335" t="s">
        <v>4</v>
      </c>
      <c r="C5" s="1335"/>
      <c r="D5" s="1335"/>
      <c r="E5" s="1335"/>
      <c r="F5" s="1335"/>
      <c r="G5" s="1335"/>
      <c r="H5" s="1335"/>
      <c r="I5" s="1335"/>
      <c r="J5" s="1335"/>
      <c r="K5" s="1335"/>
      <c r="L5" s="1335"/>
      <c r="M5" s="1335"/>
      <c r="N5" s="482"/>
    </row>
    <row r="6" spans="1:14" x14ac:dyDescent="0.25">
      <c r="A6" s="482"/>
      <c r="B6" s="482"/>
      <c r="C6" s="482"/>
      <c r="D6" s="482"/>
      <c r="E6" s="482"/>
      <c r="F6" s="482"/>
      <c r="G6" s="482"/>
      <c r="H6" s="482"/>
      <c r="I6" s="482"/>
      <c r="J6" s="482"/>
      <c r="K6" s="482"/>
      <c r="L6" s="482"/>
      <c r="M6" s="482"/>
      <c r="N6" s="482"/>
    </row>
    <row r="7" spans="1:14" x14ac:dyDescent="0.25">
      <c r="A7" s="4" t="s">
        <v>5</v>
      </c>
      <c r="B7" s="339"/>
      <c r="E7" s="32"/>
      <c r="F7" s="253"/>
      <c r="G7" s="253"/>
      <c r="N7" s="4" t="s">
        <v>5</v>
      </c>
    </row>
    <row r="8" spans="1:14" x14ac:dyDescent="0.25">
      <c r="A8" s="4" t="s">
        <v>6</v>
      </c>
      <c r="B8" s="339"/>
      <c r="E8" s="32"/>
      <c r="F8" s="253"/>
      <c r="G8" s="253"/>
      <c r="N8" s="4" t="s">
        <v>6</v>
      </c>
    </row>
    <row r="9" spans="1:14" x14ac:dyDescent="0.25">
      <c r="A9" s="473"/>
      <c r="B9" s="339"/>
      <c r="E9" s="32"/>
      <c r="F9" s="848" t="s">
        <v>8</v>
      </c>
      <c r="G9" s="848"/>
      <c r="N9" s="473"/>
    </row>
    <row r="10" spans="1:14" ht="18.75" x14ac:dyDescent="0.25">
      <c r="A10" s="4">
        <v>1</v>
      </c>
      <c r="B10" s="32" t="s">
        <v>1254</v>
      </c>
      <c r="C10" s="29"/>
      <c r="E10" s="82"/>
      <c r="F10" s="32" t="s">
        <v>1524</v>
      </c>
      <c r="G10" s="32"/>
      <c r="H10" s="31"/>
      <c r="I10" s="31"/>
      <c r="N10" s="4">
        <f>A10</f>
        <v>1</v>
      </c>
    </row>
    <row r="11" spans="1:14" x14ac:dyDescent="0.25">
      <c r="A11" s="4">
        <f>A10+1</f>
        <v>2</v>
      </c>
      <c r="B11" s="5" t="s">
        <v>1255</v>
      </c>
      <c r="D11" s="224">
        <v>1.0207000000000001E-2</v>
      </c>
      <c r="E11" s="6">
        <f>E10*D11</f>
        <v>0</v>
      </c>
      <c r="F11" s="5" t="s">
        <v>1256</v>
      </c>
      <c r="H11" s="31"/>
      <c r="I11" s="487"/>
      <c r="J11" s="487"/>
      <c r="N11" s="4">
        <f>N10+1</f>
        <v>2</v>
      </c>
    </row>
    <row r="12" spans="1:14" ht="16.5" thickBot="1" x14ac:dyDescent="0.3">
      <c r="A12" s="4">
        <f t="shared" ref="A12:A35" si="0">A11+1</f>
        <v>3</v>
      </c>
      <c r="B12" s="5" t="s">
        <v>1463</v>
      </c>
      <c r="D12" s="224">
        <v>2.0500000000000002E-3</v>
      </c>
      <c r="E12" s="681">
        <f>E10*D12</f>
        <v>0</v>
      </c>
      <c r="F12" s="488" t="s">
        <v>1257</v>
      </c>
      <c r="G12" s="488"/>
      <c r="H12"/>
      <c r="I12"/>
      <c r="J12"/>
      <c r="N12" s="4">
        <f t="shared" ref="N12:N35" si="1">N11+1</f>
        <v>3</v>
      </c>
    </row>
    <row r="13" spans="1:14" ht="16.5" thickTop="1" x14ac:dyDescent="0.25">
      <c r="A13" s="4">
        <f t="shared" si="0"/>
        <v>4</v>
      </c>
      <c r="B13" s="5" t="s">
        <v>1258</v>
      </c>
      <c r="E13" s="10">
        <f>E10+E11+E12</f>
        <v>0</v>
      </c>
      <c r="F13" s="488" t="s">
        <v>458</v>
      </c>
      <c r="G13" s="488"/>
      <c r="H13" s="4"/>
      <c r="I13" s="487"/>
      <c r="J13" s="487"/>
      <c r="N13" s="4">
        <f t="shared" si="1"/>
        <v>4</v>
      </c>
    </row>
    <row r="14" spans="1:14" x14ac:dyDescent="0.25">
      <c r="A14" s="4">
        <f t="shared" si="0"/>
        <v>5</v>
      </c>
      <c r="E14" s="341"/>
      <c r="I14" s="487"/>
      <c r="J14" s="487"/>
      <c r="N14" s="4">
        <f t="shared" si="1"/>
        <v>5</v>
      </c>
    </row>
    <row r="15" spans="1:14" x14ac:dyDescent="0.25">
      <c r="A15" s="4">
        <f t="shared" si="0"/>
        <v>6</v>
      </c>
      <c r="C15" s="489" t="s">
        <v>1137</v>
      </c>
      <c r="D15" s="489" t="s">
        <v>1138</v>
      </c>
      <c r="E15" s="489" t="s">
        <v>1139</v>
      </c>
      <c r="F15" s="489" t="s">
        <v>1140</v>
      </c>
      <c r="G15" s="489" t="s">
        <v>1141</v>
      </c>
      <c r="H15" s="489" t="s">
        <v>1142</v>
      </c>
      <c r="I15" s="489" t="s">
        <v>1143</v>
      </c>
      <c r="J15" s="489" t="s">
        <v>1144</v>
      </c>
      <c r="K15" s="489" t="s">
        <v>1145</v>
      </c>
      <c r="L15" s="489" t="s">
        <v>1146</v>
      </c>
      <c r="M15" s="489" t="s">
        <v>1147</v>
      </c>
      <c r="N15" s="4">
        <f t="shared" si="1"/>
        <v>6</v>
      </c>
    </row>
    <row r="16" spans="1:14" x14ac:dyDescent="0.25">
      <c r="A16" s="4">
        <f t="shared" si="0"/>
        <v>7</v>
      </c>
      <c r="B16" s="341" t="s">
        <v>1259</v>
      </c>
      <c r="C16" s="4"/>
      <c r="D16" s="4" t="s">
        <v>1260</v>
      </c>
      <c r="E16" s="4"/>
      <c r="F16" s="4" t="s">
        <v>1261</v>
      </c>
      <c r="G16" s="4"/>
      <c r="H16" s="34" t="s">
        <v>1262</v>
      </c>
      <c r="I16" s="34" t="s">
        <v>1263</v>
      </c>
      <c r="J16" s="4"/>
      <c r="K16" s="4" t="s">
        <v>1264</v>
      </c>
      <c r="L16" s="4" t="s">
        <v>1265</v>
      </c>
      <c r="M16" s="34" t="s">
        <v>1266</v>
      </c>
      <c r="N16" s="4">
        <f t="shared" si="1"/>
        <v>7</v>
      </c>
    </row>
    <row r="17" spans="1:21" x14ac:dyDescent="0.25">
      <c r="A17" s="4">
        <f t="shared" si="0"/>
        <v>8</v>
      </c>
      <c r="B17" s="341"/>
      <c r="C17" s="4"/>
      <c r="D17" s="4"/>
      <c r="E17" s="4"/>
      <c r="F17" s="4"/>
      <c r="G17" s="4"/>
      <c r="H17" s="34"/>
      <c r="I17" s="34"/>
      <c r="J17" s="4"/>
      <c r="K17" s="4"/>
      <c r="L17" s="4"/>
      <c r="M17" s="34"/>
      <c r="N17" s="4">
        <f t="shared" si="1"/>
        <v>8</v>
      </c>
    </row>
    <row r="18" spans="1:21" x14ac:dyDescent="0.25">
      <c r="A18" s="4">
        <f t="shared" si="0"/>
        <v>9</v>
      </c>
      <c r="C18" s="489"/>
      <c r="H18" s="482"/>
      <c r="K18" s="217" t="s">
        <v>1267</v>
      </c>
      <c r="M18" s="217" t="s">
        <v>1267</v>
      </c>
      <c r="N18" s="4">
        <f t="shared" si="1"/>
        <v>9</v>
      </c>
    </row>
    <row r="19" spans="1:21" x14ac:dyDescent="0.25">
      <c r="A19" s="4">
        <f t="shared" si="0"/>
        <v>10</v>
      </c>
      <c r="C19" s="489"/>
      <c r="F19" s="482"/>
      <c r="G19" s="482"/>
      <c r="H19" s="217"/>
      <c r="I19" s="217" t="s">
        <v>1268</v>
      </c>
      <c r="J19" s="217"/>
      <c r="K19" s="217" t="s">
        <v>1269</v>
      </c>
      <c r="M19" s="217" t="s">
        <v>1269</v>
      </c>
      <c r="N19" s="4">
        <f t="shared" si="1"/>
        <v>10</v>
      </c>
    </row>
    <row r="20" spans="1:21" x14ac:dyDescent="0.25">
      <c r="A20" s="4">
        <f t="shared" si="0"/>
        <v>11</v>
      </c>
      <c r="C20" s="217"/>
      <c r="D20" s="217" t="s">
        <v>1268</v>
      </c>
      <c r="E20" s="217" t="s">
        <v>1268</v>
      </c>
      <c r="F20" s="217" t="s">
        <v>1270</v>
      </c>
      <c r="G20" s="217"/>
      <c r="H20" s="217" t="s">
        <v>1271</v>
      </c>
      <c r="I20" s="217" t="s">
        <v>1269</v>
      </c>
      <c r="J20" s="217" t="s">
        <v>1268</v>
      </c>
      <c r="K20" s="217" t="s">
        <v>1272</v>
      </c>
      <c r="M20" s="217" t="s">
        <v>1272</v>
      </c>
      <c r="N20" s="4">
        <f t="shared" si="1"/>
        <v>11</v>
      </c>
    </row>
    <row r="21" spans="1:21" x14ac:dyDescent="0.25">
      <c r="A21" s="4">
        <f t="shared" si="0"/>
        <v>12</v>
      </c>
      <c r="C21" s="217"/>
      <c r="D21" s="217" t="s">
        <v>1273</v>
      </c>
      <c r="E21" s="217" t="s">
        <v>1273</v>
      </c>
      <c r="F21" s="217" t="s">
        <v>1273</v>
      </c>
      <c r="G21" s="217" t="s">
        <v>1274</v>
      </c>
      <c r="H21" s="217" t="s">
        <v>1273</v>
      </c>
      <c r="I21" s="217" t="s">
        <v>1272</v>
      </c>
      <c r="J21" s="217" t="s">
        <v>1275</v>
      </c>
      <c r="K21" s="217" t="s">
        <v>1276</v>
      </c>
      <c r="L21" s="217"/>
      <c r="M21" s="217" t="s">
        <v>1276</v>
      </c>
      <c r="N21" s="4">
        <f t="shared" si="1"/>
        <v>12</v>
      </c>
    </row>
    <row r="22" spans="1:21" ht="18.75" x14ac:dyDescent="0.25">
      <c r="A22" s="4">
        <f t="shared" si="0"/>
        <v>13</v>
      </c>
      <c r="B22" s="253" t="s">
        <v>260</v>
      </c>
      <c r="C22" s="253" t="s">
        <v>1277</v>
      </c>
      <c r="D22" s="253" t="s">
        <v>1278</v>
      </c>
      <c r="E22" s="253" t="s">
        <v>1890</v>
      </c>
      <c r="F22" s="253" t="s">
        <v>1279</v>
      </c>
      <c r="G22" s="253" t="s">
        <v>1280</v>
      </c>
      <c r="H22" s="253" t="s">
        <v>1281</v>
      </c>
      <c r="I22" s="253" t="s">
        <v>1276</v>
      </c>
      <c r="J22" s="253" t="s">
        <v>1282</v>
      </c>
      <c r="K22" s="253" t="s">
        <v>1283</v>
      </c>
      <c r="L22" s="501" t="s">
        <v>1275</v>
      </c>
      <c r="M22" s="253" t="s">
        <v>1284</v>
      </c>
      <c r="N22" s="4">
        <f t="shared" si="1"/>
        <v>13</v>
      </c>
      <c r="O22" s="276"/>
      <c r="P22" s="276"/>
      <c r="Q22"/>
      <c r="R22"/>
      <c r="S22"/>
      <c r="T22"/>
      <c r="U22"/>
    </row>
    <row r="23" spans="1:21" x14ac:dyDescent="0.25">
      <c r="A23" s="4">
        <f t="shared" si="0"/>
        <v>14</v>
      </c>
      <c r="B23" s="32" t="s">
        <v>1285</v>
      </c>
      <c r="C23" s="490" t="str">
        <f>RIGHT(B4,4)</f>
        <v>2025</v>
      </c>
      <c r="D23" s="140">
        <f t="shared" ref="D23:D34" si="2">$E$13/12</f>
        <v>0</v>
      </c>
      <c r="E23" s="1263">
        <f>D49</f>
        <v>0</v>
      </c>
      <c r="F23" s="141">
        <f t="shared" ref="F23:F34" si="3">$F$35/12</f>
        <v>0</v>
      </c>
      <c r="G23" s="141">
        <f>$G$35/12</f>
        <v>0</v>
      </c>
      <c r="H23" s="10">
        <f>SUM(E23:G23)</f>
        <v>0</v>
      </c>
      <c r="I23" s="141">
        <f>D23-H23</f>
        <v>0</v>
      </c>
      <c r="J23" s="142">
        <v>6.7999999999999996E-3</v>
      </c>
      <c r="K23" s="143">
        <f>I23</f>
        <v>0</v>
      </c>
      <c r="L23" s="140">
        <f>(I23/2)*J23</f>
        <v>0</v>
      </c>
      <c r="M23" s="140">
        <f t="shared" ref="M23:M34" si="4">K23+L23</f>
        <v>0</v>
      </c>
      <c r="N23" s="4">
        <f t="shared" si="1"/>
        <v>14</v>
      </c>
      <c r="O23" s="115"/>
      <c r="P23" s="254"/>
    </row>
    <row r="24" spans="1:21" x14ac:dyDescent="0.25">
      <c r="A24" s="4">
        <f t="shared" si="0"/>
        <v>15</v>
      </c>
      <c r="B24" s="32" t="s">
        <v>1286</v>
      </c>
      <c r="C24" s="490" t="str">
        <f>C23</f>
        <v>2025</v>
      </c>
      <c r="D24" s="144">
        <f t="shared" si="2"/>
        <v>0</v>
      </c>
      <c r="E24" s="1263">
        <f t="shared" ref="E24:E27" si="5">D50</f>
        <v>0</v>
      </c>
      <c r="F24" s="115">
        <f t="shared" si="3"/>
        <v>0</v>
      </c>
      <c r="G24" s="115">
        <f>$G$35/12</f>
        <v>0</v>
      </c>
      <c r="H24" s="8">
        <f>SUM(E24:G24)</f>
        <v>0</v>
      </c>
      <c r="I24" s="115">
        <f t="shared" ref="I24:I34" si="6">D24-H24</f>
        <v>0</v>
      </c>
      <c r="J24" s="142">
        <v>6.1999999999999998E-3</v>
      </c>
      <c r="K24" s="145">
        <f>M23+I24</f>
        <v>0</v>
      </c>
      <c r="L24" s="144">
        <f t="shared" ref="L24:L34" si="7">(M23+K24)/2*J24</f>
        <v>0</v>
      </c>
      <c r="M24" s="144">
        <f t="shared" si="4"/>
        <v>0</v>
      </c>
      <c r="N24" s="4">
        <f t="shared" si="1"/>
        <v>15</v>
      </c>
      <c r="O24" s="153"/>
    </row>
    <row r="25" spans="1:21" x14ac:dyDescent="0.25">
      <c r="A25" s="4">
        <f t="shared" si="0"/>
        <v>16</v>
      </c>
      <c r="B25" s="32" t="s">
        <v>1287</v>
      </c>
      <c r="C25" s="490" t="str">
        <f>C23</f>
        <v>2025</v>
      </c>
      <c r="D25" s="144">
        <f t="shared" si="2"/>
        <v>0</v>
      </c>
      <c r="E25" s="1263">
        <f t="shared" si="5"/>
        <v>0</v>
      </c>
      <c r="F25" s="115">
        <f t="shared" si="3"/>
        <v>0</v>
      </c>
      <c r="G25" s="115">
        <f t="shared" ref="G25:G34" si="8">$G$35/12</f>
        <v>0</v>
      </c>
      <c r="H25" s="8">
        <f t="shared" ref="H25:H33" si="9">SUM(E25:G25)</f>
        <v>0</v>
      </c>
      <c r="I25" s="115">
        <f t="shared" si="6"/>
        <v>0</v>
      </c>
      <c r="J25" s="142">
        <v>6.7999999999999996E-3</v>
      </c>
      <c r="K25" s="145">
        <f>M24+I25</f>
        <v>0</v>
      </c>
      <c r="L25" s="144">
        <f>(M24+K25)/2*J25</f>
        <v>0</v>
      </c>
      <c r="M25" s="144">
        <f t="shared" si="4"/>
        <v>0</v>
      </c>
      <c r="N25" s="4">
        <f t="shared" si="1"/>
        <v>16</v>
      </c>
      <c r="O25" s="153"/>
    </row>
    <row r="26" spans="1:21" x14ac:dyDescent="0.25">
      <c r="A26" s="4">
        <f t="shared" si="0"/>
        <v>17</v>
      </c>
      <c r="B26" s="32" t="s">
        <v>1288</v>
      </c>
      <c r="C26" s="490" t="str">
        <f>C23</f>
        <v>2025</v>
      </c>
      <c r="D26" s="144">
        <f t="shared" si="2"/>
        <v>0</v>
      </c>
      <c r="E26" s="1263">
        <f t="shared" si="5"/>
        <v>0</v>
      </c>
      <c r="F26" s="115">
        <f t="shared" si="3"/>
        <v>0</v>
      </c>
      <c r="G26" s="115">
        <f t="shared" si="8"/>
        <v>0</v>
      </c>
      <c r="H26" s="8">
        <f t="shared" si="9"/>
        <v>0</v>
      </c>
      <c r="I26" s="115">
        <f>D26-H26</f>
        <v>0</v>
      </c>
      <c r="J26" s="142">
        <v>6.1999999999999998E-3</v>
      </c>
      <c r="K26" s="145">
        <f>M25+I26</f>
        <v>0</v>
      </c>
      <c r="L26" s="144">
        <f>(M25+K26)/2*J26</f>
        <v>0</v>
      </c>
      <c r="M26" s="144">
        <f t="shared" si="4"/>
        <v>0</v>
      </c>
      <c r="N26" s="4">
        <f t="shared" si="1"/>
        <v>17</v>
      </c>
      <c r="O26" s="153"/>
      <c r="Q26" s="491"/>
    </row>
    <row r="27" spans="1:21" x14ac:dyDescent="0.25">
      <c r="A27" s="4">
        <f t="shared" si="0"/>
        <v>18</v>
      </c>
      <c r="B27" s="32" t="s">
        <v>1289</v>
      </c>
      <c r="C27" s="490" t="str">
        <f>C23</f>
        <v>2025</v>
      </c>
      <c r="D27" s="144">
        <f t="shared" si="2"/>
        <v>0</v>
      </c>
      <c r="E27" s="1263">
        <f t="shared" si="5"/>
        <v>0</v>
      </c>
      <c r="F27" s="115">
        <f t="shared" si="3"/>
        <v>0</v>
      </c>
      <c r="G27" s="115">
        <f t="shared" si="8"/>
        <v>0</v>
      </c>
      <c r="H27" s="8">
        <f t="shared" si="9"/>
        <v>0</v>
      </c>
      <c r="I27" s="115">
        <f t="shared" si="6"/>
        <v>0</v>
      </c>
      <c r="J27" s="142">
        <v>6.4000000000000003E-3</v>
      </c>
      <c r="K27" s="145">
        <f t="shared" ref="K27:K34" si="10">M26+I27</f>
        <v>0</v>
      </c>
      <c r="L27" s="144">
        <f t="shared" si="7"/>
        <v>0</v>
      </c>
      <c r="M27" s="144">
        <f t="shared" si="4"/>
        <v>0</v>
      </c>
      <c r="N27" s="4">
        <f t="shared" si="1"/>
        <v>18</v>
      </c>
      <c r="O27" s="153"/>
    </row>
    <row r="28" spans="1:21" x14ac:dyDescent="0.25">
      <c r="A28" s="4">
        <f t="shared" si="0"/>
        <v>19</v>
      </c>
      <c r="B28" s="32" t="s">
        <v>1290</v>
      </c>
      <c r="C28" s="490" t="str">
        <f>C23</f>
        <v>2025</v>
      </c>
      <c r="D28" s="144">
        <f t="shared" si="2"/>
        <v>0</v>
      </c>
      <c r="E28" s="1263">
        <f>($E$61-SUM($E$23:$E$27))/7</f>
        <v>0</v>
      </c>
      <c r="F28" s="115">
        <f t="shared" si="3"/>
        <v>0</v>
      </c>
      <c r="G28" s="115">
        <f t="shared" si="8"/>
        <v>0</v>
      </c>
      <c r="H28" s="8">
        <f t="shared" si="9"/>
        <v>0</v>
      </c>
      <c r="I28" s="115">
        <f t="shared" si="6"/>
        <v>0</v>
      </c>
      <c r="J28" s="142">
        <v>6.1999999999999998E-3</v>
      </c>
      <c r="K28" s="145">
        <f t="shared" si="10"/>
        <v>0</v>
      </c>
      <c r="L28" s="144">
        <f>(M27+K28)/2*J28</f>
        <v>0</v>
      </c>
      <c r="M28" s="144">
        <f t="shared" si="4"/>
        <v>0</v>
      </c>
      <c r="N28" s="4">
        <f t="shared" si="1"/>
        <v>19</v>
      </c>
      <c r="O28" s="153"/>
    </row>
    <row r="29" spans="1:21" x14ac:dyDescent="0.25">
      <c r="A29" s="4">
        <f t="shared" si="0"/>
        <v>20</v>
      </c>
      <c r="B29" s="32" t="s">
        <v>1291</v>
      </c>
      <c r="C29" s="490" t="str">
        <f>C23</f>
        <v>2025</v>
      </c>
      <c r="D29" s="144">
        <f t="shared" si="2"/>
        <v>0</v>
      </c>
      <c r="E29" s="1263">
        <f t="shared" ref="E29:E34" si="11">($E$61-SUM($E$23:$E$27))/7</f>
        <v>0</v>
      </c>
      <c r="F29" s="115">
        <f t="shared" si="3"/>
        <v>0</v>
      </c>
      <c r="G29" s="115">
        <f t="shared" si="8"/>
        <v>0</v>
      </c>
      <c r="H29" s="8">
        <f t="shared" si="9"/>
        <v>0</v>
      </c>
      <c r="I29" s="115">
        <f t="shared" si="6"/>
        <v>0</v>
      </c>
      <c r="J29" s="142">
        <v>6.4000000000000003E-3</v>
      </c>
      <c r="K29" s="145">
        <f t="shared" si="10"/>
        <v>0</v>
      </c>
      <c r="L29" s="144">
        <f t="shared" si="7"/>
        <v>0</v>
      </c>
      <c r="M29" s="144">
        <f t="shared" si="4"/>
        <v>0</v>
      </c>
      <c r="N29" s="4">
        <f t="shared" si="1"/>
        <v>20</v>
      </c>
      <c r="O29" s="153"/>
    </row>
    <row r="30" spans="1:21" x14ac:dyDescent="0.25">
      <c r="A30" s="4">
        <f t="shared" si="0"/>
        <v>21</v>
      </c>
      <c r="B30" s="32" t="s">
        <v>1292</v>
      </c>
      <c r="C30" s="490" t="str">
        <f>C23</f>
        <v>2025</v>
      </c>
      <c r="D30" s="144">
        <f t="shared" si="2"/>
        <v>0</v>
      </c>
      <c r="E30" s="1263">
        <f t="shared" si="11"/>
        <v>0</v>
      </c>
      <c r="F30" s="115">
        <f t="shared" si="3"/>
        <v>0</v>
      </c>
      <c r="G30" s="115">
        <f t="shared" si="8"/>
        <v>0</v>
      </c>
      <c r="H30" s="8">
        <f t="shared" si="9"/>
        <v>0</v>
      </c>
      <c r="I30" s="115">
        <f t="shared" si="6"/>
        <v>0</v>
      </c>
      <c r="J30" s="142">
        <v>6.4000000000000003E-3</v>
      </c>
      <c r="K30" s="145">
        <f t="shared" si="10"/>
        <v>0</v>
      </c>
      <c r="L30" s="144">
        <f t="shared" si="7"/>
        <v>0</v>
      </c>
      <c r="M30" s="144">
        <f t="shared" si="4"/>
        <v>0</v>
      </c>
      <c r="N30" s="4">
        <f t="shared" si="1"/>
        <v>21</v>
      </c>
      <c r="O30" s="153"/>
    </row>
    <row r="31" spans="1:21" x14ac:dyDescent="0.25">
      <c r="A31" s="4">
        <f t="shared" si="0"/>
        <v>22</v>
      </c>
      <c r="B31" s="32" t="s">
        <v>1293</v>
      </c>
      <c r="C31" s="490" t="str">
        <f>C23</f>
        <v>2025</v>
      </c>
      <c r="D31" s="144">
        <f t="shared" si="2"/>
        <v>0</v>
      </c>
      <c r="E31" s="1263">
        <f t="shared" si="11"/>
        <v>0</v>
      </c>
      <c r="F31" s="115">
        <f t="shared" si="3"/>
        <v>0</v>
      </c>
      <c r="G31" s="115">
        <f t="shared" si="8"/>
        <v>0</v>
      </c>
      <c r="H31" s="8">
        <f t="shared" si="9"/>
        <v>0</v>
      </c>
      <c r="I31" s="115">
        <f t="shared" si="6"/>
        <v>0</v>
      </c>
      <c r="J31" s="142">
        <v>6.1999999999999998E-3</v>
      </c>
      <c r="K31" s="145">
        <f t="shared" si="10"/>
        <v>0</v>
      </c>
      <c r="L31" s="144">
        <f t="shared" si="7"/>
        <v>0</v>
      </c>
      <c r="M31" s="144">
        <f t="shared" si="4"/>
        <v>0</v>
      </c>
      <c r="N31" s="4">
        <f t="shared" si="1"/>
        <v>22</v>
      </c>
      <c r="O31" s="153"/>
    </row>
    <row r="32" spans="1:21" x14ac:dyDescent="0.25">
      <c r="A32" s="4">
        <f t="shared" si="0"/>
        <v>23</v>
      </c>
      <c r="B32" s="32" t="s">
        <v>1294</v>
      </c>
      <c r="C32" s="490" t="str">
        <f>C23</f>
        <v>2025</v>
      </c>
      <c r="D32" s="144">
        <f t="shared" si="2"/>
        <v>0</v>
      </c>
      <c r="E32" s="1263">
        <f t="shared" si="11"/>
        <v>0</v>
      </c>
      <c r="F32" s="115">
        <f t="shared" si="3"/>
        <v>0</v>
      </c>
      <c r="G32" s="115">
        <f t="shared" si="8"/>
        <v>0</v>
      </c>
      <c r="H32" s="8">
        <f t="shared" si="9"/>
        <v>0</v>
      </c>
      <c r="I32" s="115">
        <f t="shared" si="6"/>
        <v>0</v>
      </c>
      <c r="J32" s="142">
        <v>6.4000000000000003E-3</v>
      </c>
      <c r="K32" s="145">
        <f t="shared" si="10"/>
        <v>0</v>
      </c>
      <c r="L32" s="144">
        <f t="shared" si="7"/>
        <v>0</v>
      </c>
      <c r="M32" s="144">
        <f t="shared" si="4"/>
        <v>0</v>
      </c>
      <c r="N32" s="4">
        <f t="shared" si="1"/>
        <v>23</v>
      </c>
      <c r="O32" s="153"/>
    </row>
    <row r="33" spans="1:16" x14ac:dyDescent="0.25">
      <c r="A33" s="4">
        <f t="shared" si="0"/>
        <v>24</v>
      </c>
      <c r="B33" s="32" t="s">
        <v>1295</v>
      </c>
      <c r="C33" s="490" t="str">
        <f>C23</f>
        <v>2025</v>
      </c>
      <c r="D33" s="144">
        <f t="shared" si="2"/>
        <v>0</v>
      </c>
      <c r="E33" s="1263">
        <f t="shared" si="11"/>
        <v>0</v>
      </c>
      <c r="F33" s="115">
        <f t="shared" si="3"/>
        <v>0</v>
      </c>
      <c r="G33" s="115">
        <f t="shared" si="8"/>
        <v>0</v>
      </c>
      <c r="H33" s="8">
        <f t="shared" si="9"/>
        <v>0</v>
      </c>
      <c r="I33" s="115">
        <f t="shared" si="6"/>
        <v>0</v>
      </c>
      <c r="J33" s="142">
        <v>6.1999999999999998E-3</v>
      </c>
      <c r="K33" s="145">
        <f t="shared" si="10"/>
        <v>0</v>
      </c>
      <c r="L33" s="8">
        <f t="shared" si="7"/>
        <v>0</v>
      </c>
      <c r="M33" s="8">
        <f t="shared" si="4"/>
        <v>0</v>
      </c>
      <c r="N33" s="4">
        <f t="shared" si="1"/>
        <v>24</v>
      </c>
      <c r="O33" s="153"/>
    </row>
    <row r="34" spans="1:16" x14ac:dyDescent="0.25">
      <c r="A34" s="4">
        <f t="shared" si="0"/>
        <v>25</v>
      </c>
      <c r="B34" s="1056" t="s">
        <v>1296</v>
      </c>
      <c r="C34" s="1057" t="str">
        <f>C23</f>
        <v>2025</v>
      </c>
      <c r="D34" s="1058">
        <f t="shared" si="2"/>
        <v>0</v>
      </c>
      <c r="E34" s="1263">
        <f t="shared" si="11"/>
        <v>0</v>
      </c>
      <c r="F34" s="1059">
        <f t="shared" si="3"/>
        <v>0</v>
      </c>
      <c r="G34" s="1059">
        <f t="shared" si="8"/>
        <v>0</v>
      </c>
      <c r="H34" s="911">
        <f>SUM(E34:G34)</f>
        <v>0</v>
      </c>
      <c r="I34" s="1059">
        <f t="shared" si="6"/>
        <v>0</v>
      </c>
      <c r="J34" s="1031">
        <v>6.4000000000000003E-3</v>
      </c>
      <c r="K34" s="1060">
        <f t="shared" si="10"/>
        <v>0</v>
      </c>
      <c r="L34" s="911">
        <f t="shared" si="7"/>
        <v>0</v>
      </c>
      <c r="M34" s="911">
        <f t="shared" si="4"/>
        <v>0</v>
      </c>
      <c r="N34" s="4">
        <f t="shared" si="1"/>
        <v>25</v>
      </c>
      <c r="O34" s="153"/>
    </row>
    <row r="35" spans="1:16" ht="16.5" thickBot="1" x14ac:dyDescent="0.3">
      <c r="A35" s="4">
        <f t="shared" si="0"/>
        <v>26</v>
      </c>
      <c r="D35" s="146">
        <f>SUM(D23:D34)</f>
        <v>0</v>
      </c>
      <c r="E35" s="146">
        <f>SUM(E23:E34)</f>
        <v>0</v>
      </c>
      <c r="F35" s="147"/>
      <c r="G35" s="147"/>
      <c r="H35" s="146">
        <f>SUM(H23:H34)</f>
        <v>0</v>
      </c>
      <c r="I35" s="146">
        <f>SUM(I23:I34)</f>
        <v>0</v>
      </c>
      <c r="J35" s="148"/>
      <c r="K35" s="149"/>
      <c r="L35" s="95">
        <f>SUM(L23:L34)</f>
        <v>0</v>
      </c>
      <c r="M35" s="682"/>
      <c r="N35" s="4">
        <f t="shared" si="1"/>
        <v>26</v>
      </c>
      <c r="P35"/>
    </row>
    <row r="36" spans="1:16" ht="16.5" thickTop="1" x14ac:dyDescent="0.25">
      <c r="D36" s="161"/>
      <c r="E36" s="161"/>
      <c r="F36" s="888"/>
      <c r="G36" s="161"/>
      <c r="H36" s="888"/>
      <c r="I36" s="888"/>
      <c r="J36" s="161"/>
      <c r="K36" s="161"/>
      <c r="L36" s="683"/>
      <c r="M36" s="683"/>
      <c r="P36"/>
    </row>
    <row r="37" spans="1:16" x14ac:dyDescent="0.25">
      <c r="B37" s="36"/>
      <c r="F37" s="492"/>
      <c r="G37" s="492"/>
      <c r="P37"/>
    </row>
    <row r="38" spans="1:16" ht="18.75" x14ac:dyDescent="0.25">
      <c r="A38" s="252">
        <v>1</v>
      </c>
      <c r="B38" s="5" t="s">
        <v>1297</v>
      </c>
      <c r="F38" s="492"/>
      <c r="G38" s="492"/>
    </row>
    <row r="39" spans="1:16" ht="18.75" x14ac:dyDescent="0.25">
      <c r="A39" s="252">
        <v>2</v>
      </c>
      <c r="B39" s="31" t="s">
        <v>2024</v>
      </c>
    </row>
    <row r="40" spans="1:16" ht="18.75" x14ac:dyDescent="0.25">
      <c r="A40" s="252">
        <v>3</v>
      </c>
      <c r="B40" s="5" t="s">
        <v>1298</v>
      </c>
    </row>
    <row r="41" spans="1:16" ht="18.75" x14ac:dyDescent="0.25">
      <c r="A41" s="252">
        <v>4</v>
      </c>
      <c r="B41" s="5" t="s">
        <v>2061</v>
      </c>
    </row>
    <row r="42" spans="1:16" ht="18.75" x14ac:dyDescent="0.25">
      <c r="A42" s="252"/>
      <c r="B42" s="5" t="s">
        <v>2098</v>
      </c>
    </row>
    <row r="43" spans="1:16" ht="18.75" x14ac:dyDescent="0.25">
      <c r="A43" s="252">
        <v>5</v>
      </c>
      <c r="B43" s="5" t="s">
        <v>1299</v>
      </c>
      <c r="C43" s="438"/>
    </row>
    <row r="44" spans="1:16" ht="18.75" x14ac:dyDescent="0.25">
      <c r="A44" s="252">
        <v>6</v>
      </c>
      <c r="B44" s="5" t="s">
        <v>1300</v>
      </c>
    </row>
    <row r="45" spans="1:16" ht="18.75" x14ac:dyDescent="0.25">
      <c r="A45" s="252">
        <v>7</v>
      </c>
      <c r="B45" s="5" t="s">
        <v>1301</v>
      </c>
    </row>
    <row r="46" spans="1:16" customFormat="1" ht="15" x14ac:dyDescent="0.25"/>
    <row r="47" spans="1:16" customFormat="1" ht="18.75" x14ac:dyDescent="0.25">
      <c r="A47" s="252">
        <v>8</v>
      </c>
      <c r="B47" s="33" t="s">
        <v>1800</v>
      </c>
      <c r="C47" s="749"/>
      <c r="D47" s="253" t="s">
        <v>1799</v>
      </c>
      <c r="E47" s="253" t="s">
        <v>1801</v>
      </c>
    </row>
    <row r="48" spans="1:16" customFormat="1" ht="18.75" x14ac:dyDescent="0.25">
      <c r="A48" s="252"/>
      <c r="B48" s="33"/>
      <c r="C48" s="749"/>
      <c r="D48" s="1227"/>
      <c r="E48" s="1227"/>
    </row>
    <row r="49" spans="1:5" customFormat="1" x14ac:dyDescent="0.25">
      <c r="A49" s="749"/>
      <c r="B49" s="32" t="s">
        <v>1285</v>
      </c>
      <c r="C49" s="490">
        <v>2025</v>
      </c>
      <c r="D49" s="1214"/>
      <c r="E49" s="1263">
        <f>D61/12</f>
        <v>0</v>
      </c>
    </row>
    <row r="50" spans="1:5" customFormat="1" x14ac:dyDescent="0.25">
      <c r="A50" s="749"/>
      <c r="B50" s="32" t="s">
        <v>1286</v>
      </c>
      <c r="C50" s="490">
        <f>C49</f>
        <v>2025</v>
      </c>
      <c r="D50" s="1214"/>
      <c r="E50" s="1263">
        <f>$E$49</f>
        <v>0</v>
      </c>
    </row>
    <row r="51" spans="1:5" x14ac:dyDescent="0.25">
      <c r="A51" s="4"/>
      <c r="B51" s="32" t="s">
        <v>1287</v>
      </c>
      <c r="C51" s="490">
        <f>C49</f>
        <v>2025</v>
      </c>
      <c r="D51" s="1214"/>
      <c r="E51" s="1263">
        <f t="shared" ref="E51:E60" si="12">$E$49</f>
        <v>0</v>
      </c>
    </row>
    <row r="52" spans="1:5" x14ac:dyDescent="0.25">
      <c r="A52" s="4"/>
      <c r="B52" s="32" t="s">
        <v>1288</v>
      </c>
      <c r="C52" s="490">
        <f>C49</f>
        <v>2025</v>
      </c>
      <c r="D52" s="1214"/>
      <c r="E52" s="1263">
        <f t="shared" si="12"/>
        <v>0</v>
      </c>
    </row>
    <row r="53" spans="1:5" x14ac:dyDescent="0.25">
      <c r="A53" s="4"/>
      <c r="B53" s="32" t="s">
        <v>1289</v>
      </c>
      <c r="C53" s="490">
        <f>C49</f>
        <v>2025</v>
      </c>
      <c r="D53" s="1214"/>
      <c r="E53" s="1263">
        <f t="shared" si="12"/>
        <v>0</v>
      </c>
    </row>
    <row r="54" spans="1:5" x14ac:dyDescent="0.25">
      <c r="A54" s="4"/>
      <c r="B54" s="32" t="s">
        <v>1290</v>
      </c>
      <c r="C54" s="490">
        <f>C49</f>
        <v>2025</v>
      </c>
      <c r="D54" s="1214"/>
      <c r="E54" s="1263">
        <f t="shared" si="12"/>
        <v>0</v>
      </c>
    </row>
    <row r="55" spans="1:5" x14ac:dyDescent="0.25">
      <c r="A55" s="4"/>
      <c r="B55" s="32" t="s">
        <v>1291</v>
      </c>
      <c r="C55" s="490">
        <f>C49</f>
        <v>2025</v>
      </c>
      <c r="D55" s="1214"/>
      <c r="E55" s="1263">
        <f t="shared" si="12"/>
        <v>0</v>
      </c>
    </row>
    <row r="56" spans="1:5" x14ac:dyDescent="0.25">
      <c r="A56" s="4"/>
      <c r="B56" s="32" t="s">
        <v>1292</v>
      </c>
      <c r="C56" s="490">
        <f>C49</f>
        <v>2025</v>
      </c>
      <c r="D56" s="1214"/>
      <c r="E56" s="1263">
        <f t="shared" si="12"/>
        <v>0</v>
      </c>
    </row>
    <row r="57" spans="1:5" x14ac:dyDescent="0.25">
      <c r="A57" s="4"/>
      <c r="B57" s="32" t="s">
        <v>1293</v>
      </c>
      <c r="C57" s="490">
        <f>C49</f>
        <v>2025</v>
      </c>
      <c r="D57" s="1214"/>
      <c r="E57" s="1263">
        <f t="shared" si="12"/>
        <v>0</v>
      </c>
    </row>
    <row r="58" spans="1:5" x14ac:dyDescent="0.25">
      <c r="A58" s="4"/>
      <c r="B58" s="32" t="s">
        <v>1294</v>
      </c>
      <c r="C58" s="490">
        <f>C49</f>
        <v>2025</v>
      </c>
      <c r="D58" s="1214"/>
      <c r="E58" s="1263">
        <f t="shared" si="12"/>
        <v>0</v>
      </c>
    </row>
    <row r="59" spans="1:5" x14ac:dyDescent="0.25">
      <c r="A59" s="4"/>
      <c r="B59" s="32" t="s">
        <v>1295</v>
      </c>
      <c r="C59" s="490">
        <f>C49</f>
        <v>2025</v>
      </c>
      <c r="D59" s="1214"/>
      <c r="E59" s="1263">
        <f t="shared" si="12"/>
        <v>0</v>
      </c>
    </row>
    <row r="60" spans="1:5" x14ac:dyDescent="0.25">
      <c r="A60" s="4"/>
      <c r="B60" s="32" t="s">
        <v>1296</v>
      </c>
      <c r="C60" s="490">
        <f>C49</f>
        <v>2025</v>
      </c>
      <c r="D60" s="1214"/>
      <c r="E60" s="1263">
        <f t="shared" si="12"/>
        <v>0</v>
      </c>
    </row>
    <row r="61" spans="1:5" ht="16.5" thickBot="1" x14ac:dyDescent="0.3">
      <c r="A61" s="4"/>
      <c r="B61" s="4" t="s">
        <v>180</v>
      </c>
      <c r="C61" s="31"/>
      <c r="D61" s="95">
        <f>SUM(D49:D60)</f>
        <v>0</v>
      </c>
      <c r="E61" s="95">
        <f>SUM(E49:E60)</f>
        <v>0</v>
      </c>
    </row>
    <row r="62" spans="1:5" ht="16.5" thickTop="1" x14ac:dyDescent="0.25">
      <c r="A62" s="4"/>
      <c r="B62" s="31"/>
      <c r="C62" s="31"/>
      <c r="D62" s="31"/>
      <c r="E62" s="31"/>
    </row>
    <row r="64" spans="1:5" x14ac:dyDescent="0.25">
      <c r="E64"/>
    </row>
  </sheetData>
  <mergeCells count="4">
    <mergeCell ref="B5:M5"/>
    <mergeCell ref="B2:M2"/>
    <mergeCell ref="B3:M3"/>
    <mergeCell ref="B4:M4"/>
  </mergeCells>
  <printOptions horizontalCentered="1"/>
  <pageMargins left="0.5" right="0.5" top="0.5" bottom="0.5" header="0.25" footer="0.25"/>
  <pageSetup scale="49" orientation="landscape" r:id="rId1"/>
  <headerFooter scaleWithDoc="0">
    <oddFooter>&amp;C&amp;"Times New Roman,Regular"&amp;10&amp;A</oddFooter>
  </headerFooter>
  <rowBreaks count="1" manualBreakCount="1">
    <brk id="53" max="14" man="1"/>
  </rowBreaks>
  <customProperties>
    <customPr name="_pios_id" r:id="rId2"/>
  </customPropertie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ED05-28D5-4B79-9487-5A336A1FCA81}">
  <sheetPr>
    <pageSetUpPr fitToPage="1"/>
  </sheetPr>
  <dimension ref="A1:U49"/>
  <sheetViews>
    <sheetView view="pageBreakPreview" zoomScale="60" zoomScaleNormal="80" workbookViewId="0">
      <selection activeCell="I37" sqref="I37"/>
    </sheetView>
  </sheetViews>
  <sheetFormatPr defaultColWidth="9.28515625" defaultRowHeight="15.75" x14ac:dyDescent="0.25"/>
  <cols>
    <col min="1" max="1" width="5.28515625" style="340" customWidth="1"/>
    <col min="2" max="2" width="12.5703125" style="5" customWidth="1"/>
    <col min="3" max="3" width="20" style="5" customWidth="1"/>
    <col min="4" max="7" width="21.5703125" style="5" customWidth="1"/>
    <col min="8" max="8" width="22.7109375" style="5" bestFit="1" customWidth="1"/>
    <col min="9" max="13" width="21.5703125" style="5" customWidth="1"/>
    <col min="14" max="14" width="5.28515625" style="340" customWidth="1"/>
    <col min="15" max="15" width="14.28515625" style="5" customWidth="1"/>
    <col min="16" max="16" width="12.5703125" style="5" customWidth="1"/>
    <col min="17" max="16384" width="9.28515625" style="5"/>
  </cols>
  <sheetData>
    <row r="1" spans="1:20" x14ac:dyDescent="0.25">
      <c r="I1" s="276"/>
    </row>
    <row r="2" spans="1:20" x14ac:dyDescent="0.25">
      <c r="B2" s="1334" t="s">
        <v>0</v>
      </c>
      <c r="C2" s="1334"/>
      <c r="D2" s="1334"/>
      <c r="E2" s="1334"/>
      <c r="F2" s="1334"/>
      <c r="G2" s="1334"/>
      <c r="H2" s="1334"/>
      <c r="I2" s="1334"/>
      <c r="J2" s="1334"/>
      <c r="K2" s="1334"/>
      <c r="L2" s="1334"/>
      <c r="M2" s="1334"/>
      <c r="N2" s="482"/>
    </row>
    <row r="3" spans="1:20" x14ac:dyDescent="0.25">
      <c r="B3" s="1339" t="s">
        <v>2073</v>
      </c>
      <c r="C3" s="1339"/>
      <c r="D3" s="1339"/>
      <c r="E3" s="1339"/>
      <c r="F3" s="1339"/>
      <c r="G3" s="1339"/>
      <c r="H3" s="1339"/>
      <c r="I3" s="1339"/>
      <c r="J3" s="1339"/>
      <c r="K3" s="1339"/>
      <c r="L3" s="1339"/>
      <c r="M3" s="1339"/>
      <c r="N3" s="482"/>
    </row>
    <row r="4" spans="1:20" x14ac:dyDescent="0.25">
      <c r="B4" s="1339" t="s">
        <v>2074</v>
      </c>
      <c r="C4" s="1339"/>
      <c r="D4" s="1339"/>
      <c r="E4" s="1339"/>
      <c r="F4" s="1339"/>
      <c r="G4" s="1339"/>
      <c r="H4" s="1339"/>
      <c r="I4" s="1339"/>
      <c r="J4" s="1339"/>
      <c r="K4" s="1339"/>
      <c r="L4" s="1339"/>
      <c r="M4" s="1339"/>
      <c r="N4" s="482"/>
    </row>
    <row r="5" spans="1:20" x14ac:dyDescent="0.25">
      <c r="B5" s="1335" t="s">
        <v>4</v>
      </c>
      <c r="C5" s="1335"/>
      <c r="D5" s="1335"/>
      <c r="E5" s="1335"/>
      <c r="F5" s="1335"/>
      <c r="G5" s="1335"/>
      <c r="H5" s="1335"/>
      <c r="I5" s="1335"/>
      <c r="J5" s="1335"/>
      <c r="K5" s="1335"/>
      <c r="L5" s="1335"/>
      <c r="M5" s="1335"/>
      <c r="N5" s="482"/>
    </row>
    <row r="6" spans="1:20" x14ac:dyDescent="0.25">
      <c r="A6" s="482"/>
      <c r="B6" s="482"/>
      <c r="C6" s="482"/>
      <c r="D6" s="482"/>
      <c r="E6" s="482"/>
      <c r="F6" s="482"/>
      <c r="G6" s="482"/>
      <c r="H6" s="482"/>
      <c r="I6" s="482"/>
      <c r="J6" s="482"/>
      <c r="K6" s="482"/>
      <c r="L6" s="482"/>
      <c r="M6" s="482"/>
      <c r="N6" s="482"/>
    </row>
    <row r="7" spans="1:20" x14ac:dyDescent="0.25">
      <c r="A7" s="4" t="s">
        <v>5</v>
      </c>
      <c r="B7" s="339"/>
      <c r="E7" s="32"/>
      <c r="F7" s="253"/>
      <c r="G7" s="253"/>
      <c r="N7" s="4" t="s">
        <v>5</v>
      </c>
    </row>
    <row r="8" spans="1:20" x14ac:dyDescent="0.25">
      <c r="A8" s="4" t="s">
        <v>6</v>
      </c>
      <c r="B8" s="339"/>
      <c r="E8" s="32"/>
      <c r="F8" s="253"/>
      <c r="G8" s="253"/>
      <c r="N8" s="4" t="s">
        <v>6</v>
      </c>
    </row>
    <row r="9" spans="1:20" x14ac:dyDescent="0.25">
      <c r="A9" s="473"/>
      <c r="B9" s="339"/>
      <c r="E9" s="32"/>
      <c r="F9" s="848" t="s">
        <v>8</v>
      </c>
      <c r="G9" s="848"/>
      <c r="N9" s="473"/>
      <c r="O9" s="1307"/>
      <c r="P9" s="1307"/>
      <c r="Q9" s="1307"/>
      <c r="R9" s="1307"/>
      <c r="S9" s="1307"/>
      <c r="T9" s="1307"/>
    </row>
    <row r="10" spans="1:20" ht="18.75" x14ac:dyDescent="0.25">
      <c r="A10" s="4">
        <v>1</v>
      </c>
      <c r="B10" s="32" t="s">
        <v>1254</v>
      </c>
      <c r="C10" s="29"/>
      <c r="E10" s="82">
        <f>'TO5 True-Up BK-1'!E93</f>
        <v>1138196.796736988</v>
      </c>
      <c r="F10" s="32" t="s">
        <v>1524</v>
      </c>
      <c r="G10" s="32"/>
      <c r="H10" s="31"/>
      <c r="I10" s="31"/>
      <c r="N10" s="4">
        <f>A10</f>
        <v>1</v>
      </c>
      <c r="O10" s="1307"/>
      <c r="P10" s="1307"/>
      <c r="Q10" s="1307"/>
      <c r="R10" s="1307"/>
      <c r="S10" s="1307"/>
      <c r="T10" s="1307"/>
    </row>
    <row r="11" spans="1:20" x14ac:dyDescent="0.25">
      <c r="A11" s="4">
        <f>A10+1</f>
        <v>2</v>
      </c>
      <c r="B11" s="5" t="s">
        <v>1255</v>
      </c>
      <c r="D11" s="224">
        <v>1.0207000000000001E-2</v>
      </c>
      <c r="E11" s="6">
        <f>E10*D11</f>
        <v>11617.574704294437</v>
      </c>
      <c r="F11" s="5" t="s">
        <v>1256</v>
      </c>
      <c r="H11" s="31"/>
      <c r="I11" s="487"/>
      <c r="J11" s="487"/>
      <c r="N11" s="4">
        <f>N10+1</f>
        <v>2</v>
      </c>
      <c r="O11" s="1308"/>
      <c r="P11" s="1309"/>
    </row>
    <row r="12" spans="1:20" ht="16.5" thickBot="1" x14ac:dyDescent="0.3">
      <c r="A12" s="4">
        <f t="shared" ref="A12:A35" si="0">A11+1</f>
        <v>3</v>
      </c>
      <c r="B12" s="5" t="s">
        <v>1463</v>
      </c>
      <c r="D12" s="224">
        <v>2.0500000000000002E-3</v>
      </c>
      <c r="E12" s="681">
        <f>E10*D12</f>
        <v>2333.3034333108258</v>
      </c>
      <c r="F12" s="488" t="s">
        <v>1257</v>
      </c>
      <c r="G12" s="488"/>
      <c r="H12" s="4"/>
      <c r="I12" s="487"/>
      <c r="J12" s="487"/>
      <c r="N12" s="4">
        <f t="shared" ref="N12:N35" si="1">N11+1</f>
        <v>3</v>
      </c>
      <c r="O12" s="1310"/>
      <c r="P12" s="1309"/>
    </row>
    <row r="13" spans="1:20" ht="16.5" thickTop="1" x14ac:dyDescent="0.25">
      <c r="A13" s="4">
        <f t="shared" si="0"/>
        <v>4</v>
      </c>
      <c r="B13" s="5" t="s">
        <v>1258</v>
      </c>
      <c r="E13" s="10">
        <f>E10+E11+E12</f>
        <v>1152147.6748745933</v>
      </c>
      <c r="F13" s="488" t="s">
        <v>458</v>
      </c>
      <c r="G13" s="488"/>
      <c r="H13" s="4"/>
      <c r="I13" s="487"/>
      <c r="J13" s="487"/>
      <c r="N13" s="4">
        <f t="shared" si="1"/>
        <v>4</v>
      </c>
    </row>
    <row r="14" spans="1:20" x14ac:dyDescent="0.25">
      <c r="A14" s="4">
        <f t="shared" si="0"/>
        <v>5</v>
      </c>
      <c r="E14" s="341"/>
      <c r="I14" s="487"/>
      <c r="J14" s="487"/>
      <c r="N14" s="4">
        <f t="shared" si="1"/>
        <v>5</v>
      </c>
    </row>
    <row r="15" spans="1:20" x14ac:dyDescent="0.25">
      <c r="A15" s="4">
        <f t="shared" si="0"/>
        <v>6</v>
      </c>
      <c r="C15" s="489" t="s">
        <v>1137</v>
      </c>
      <c r="D15" s="489" t="s">
        <v>1138</v>
      </c>
      <c r="E15" s="489" t="s">
        <v>1139</v>
      </c>
      <c r="F15" s="489" t="s">
        <v>1140</v>
      </c>
      <c r="G15" s="489" t="s">
        <v>1141</v>
      </c>
      <c r="H15" s="489" t="s">
        <v>1142</v>
      </c>
      <c r="I15" s="489" t="s">
        <v>1143</v>
      </c>
      <c r="J15" s="489" t="s">
        <v>1144</v>
      </c>
      <c r="K15" s="489" t="s">
        <v>1145</v>
      </c>
      <c r="L15" s="489" t="s">
        <v>1146</v>
      </c>
      <c r="M15" s="489" t="s">
        <v>1147</v>
      </c>
      <c r="N15" s="4">
        <f t="shared" si="1"/>
        <v>6</v>
      </c>
    </row>
    <row r="16" spans="1:20" x14ac:dyDescent="0.25">
      <c r="A16" s="4">
        <f t="shared" si="0"/>
        <v>7</v>
      </c>
      <c r="B16" s="341" t="s">
        <v>1259</v>
      </c>
      <c r="C16" s="4"/>
      <c r="D16" s="4" t="s">
        <v>1260</v>
      </c>
      <c r="E16" s="4"/>
      <c r="F16" s="4" t="s">
        <v>1261</v>
      </c>
      <c r="G16" s="4"/>
      <c r="H16" s="34" t="s">
        <v>1262</v>
      </c>
      <c r="I16" s="34" t="s">
        <v>1263</v>
      </c>
      <c r="J16" s="4"/>
      <c r="K16" s="4" t="s">
        <v>1264</v>
      </c>
      <c r="L16" s="4" t="s">
        <v>1265</v>
      </c>
      <c r="M16" s="34" t="s">
        <v>1266</v>
      </c>
      <c r="N16" s="4">
        <f t="shared" si="1"/>
        <v>7</v>
      </c>
    </row>
    <row r="17" spans="1:21" x14ac:dyDescent="0.25">
      <c r="A17" s="4">
        <f t="shared" si="0"/>
        <v>8</v>
      </c>
      <c r="B17" s="341"/>
      <c r="C17" s="4"/>
      <c r="D17" s="4"/>
      <c r="E17" s="4"/>
      <c r="F17" s="4"/>
      <c r="G17" s="4"/>
      <c r="H17" s="34"/>
      <c r="I17" s="34"/>
      <c r="J17" s="4"/>
      <c r="K17" s="4"/>
      <c r="L17" s="4"/>
      <c r="M17" s="34"/>
      <c r="N17" s="4">
        <f t="shared" si="1"/>
        <v>8</v>
      </c>
    </row>
    <row r="18" spans="1:21" x14ac:dyDescent="0.25">
      <c r="A18" s="4">
        <f t="shared" si="0"/>
        <v>9</v>
      </c>
      <c r="C18" s="489"/>
      <c r="H18" s="482"/>
      <c r="K18" s="217" t="s">
        <v>1267</v>
      </c>
      <c r="M18" s="217" t="s">
        <v>1267</v>
      </c>
      <c r="N18" s="4">
        <f t="shared" si="1"/>
        <v>9</v>
      </c>
    </row>
    <row r="19" spans="1:21" x14ac:dyDescent="0.25">
      <c r="A19" s="4">
        <f t="shared" si="0"/>
        <v>10</v>
      </c>
      <c r="C19" s="489"/>
      <c r="F19" s="482"/>
      <c r="G19" s="482"/>
      <c r="H19" s="217"/>
      <c r="I19" s="217" t="s">
        <v>1268</v>
      </c>
      <c r="J19" s="217"/>
      <c r="K19" s="217" t="s">
        <v>1269</v>
      </c>
      <c r="M19" s="217" t="s">
        <v>1269</v>
      </c>
      <c r="N19" s="4">
        <f t="shared" si="1"/>
        <v>10</v>
      </c>
    </row>
    <row r="20" spans="1:21" x14ac:dyDescent="0.25">
      <c r="A20" s="4">
        <f t="shared" si="0"/>
        <v>11</v>
      </c>
      <c r="C20" s="217"/>
      <c r="D20" s="217" t="s">
        <v>1268</v>
      </c>
      <c r="E20" s="217" t="s">
        <v>1268</v>
      </c>
      <c r="F20" s="217" t="s">
        <v>1270</v>
      </c>
      <c r="G20" s="217"/>
      <c r="H20" s="217" t="s">
        <v>1271</v>
      </c>
      <c r="I20" s="217" t="s">
        <v>1269</v>
      </c>
      <c r="J20" s="217" t="s">
        <v>1268</v>
      </c>
      <c r="K20" s="217" t="s">
        <v>1272</v>
      </c>
      <c r="M20" s="217" t="s">
        <v>1272</v>
      </c>
      <c r="N20" s="4">
        <f t="shared" si="1"/>
        <v>11</v>
      </c>
    </row>
    <row r="21" spans="1:21" x14ac:dyDescent="0.25">
      <c r="A21" s="4">
        <f t="shared" si="0"/>
        <v>12</v>
      </c>
      <c r="C21" s="217"/>
      <c r="D21" s="217" t="s">
        <v>1273</v>
      </c>
      <c r="E21" s="217" t="s">
        <v>1273</v>
      </c>
      <c r="F21" s="217" t="s">
        <v>1273</v>
      </c>
      <c r="G21" s="217" t="s">
        <v>1274</v>
      </c>
      <c r="H21" s="217" t="s">
        <v>1273</v>
      </c>
      <c r="I21" s="217" t="s">
        <v>1272</v>
      </c>
      <c r="J21" s="217" t="s">
        <v>1275</v>
      </c>
      <c r="K21" s="217" t="s">
        <v>1276</v>
      </c>
      <c r="L21" s="217"/>
      <c r="M21" s="217" t="s">
        <v>1276</v>
      </c>
      <c r="N21" s="4">
        <f t="shared" si="1"/>
        <v>12</v>
      </c>
    </row>
    <row r="22" spans="1:21" ht="18.75" x14ac:dyDescent="0.25">
      <c r="A22" s="4">
        <f t="shared" si="0"/>
        <v>13</v>
      </c>
      <c r="B22" s="253" t="s">
        <v>260</v>
      </c>
      <c r="C22" s="253" t="s">
        <v>1277</v>
      </c>
      <c r="D22" s="253" t="s">
        <v>1278</v>
      </c>
      <c r="E22" s="253" t="s">
        <v>2125</v>
      </c>
      <c r="F22" s="253" t="s">
        <v>1279</v>
      </c>
      <c r="G22" s="253" t="s">
        <v>1280</v>
      </c>
      <c r="H22" s="253" t="s">
        <v>1281</v>
      </c>
      <c r="I22" s="253" t="s">
        <v>1276</v>
      </c>
      <c r="J22" s="253" t="s">
        <v>1282</v>
      </c>
      <c r="K22" s="253" t="s">
        <v>1283</v>
      </c>
      <c r="L22" s="501" t="s">
        <v>1275</v>
      </c>
      <c r="M22" s="253" t="s">
        <v>1284</v>
      </c>
      <c r="N22" s="4">
        <f t="shared" si="1"/>
        <v>13</v>
      </c>
      <c r="P22"/>
      <c r="Q22"/>
      <c r="R22"/>
      <c r="S22"/>
      <c r="T22"/>
      <c r="U22"/>
    </row>
    <row r="23" spans="1:21" x14ac:dyDescent="0.25">
      <c r="A23" s="4">
        <f t="shared" si="0"/>
        <v>14</v>
      </c>
      <c r="B23" s="32" t="s">
        <v>1285</v>
      </c>
      <c r="C23" s="490" t="str">
        <f>RIGHT(B4,4)</f>
        <v>2025</v>
      </c>
      <c r="D23" s="140">
        <f t="shared" ref="D23:D27" si="2">$E$13/12</f>
        <v>96012.306239549434</v>
      </c>
      <c r="E23" s="1214">
        <v>90352.839000000007</v>
      </c>
      <c r="F23" s="141">
        <f t="shared" ref="F23:F27" si="3">$F$35/12</f>
        <v>1472.6666666666667</v>
      </c>
      <c r="G23" s="141">
        <f>$G$35/12</f>
        <v>-301.64331700310498</v>
      </c>
      <c r="H23" s="10">
        <f>SUM(E23:G23)</f>
        <v>91523.86234966357</v>
      </c>
      <c r="I23" s="141">
        <f>D23-H23</f>
        <v>4488.4438898858643</v>
      </c>
      <c r="J23" s="142">
        <v>6.7999999999999996E-3</v>
      </c>
      <c r="K23" s="143">
        <f>I23</f>
        <v>4488.4438898858643</v>
      </c>
      <c r="L23" s="140">
        <f>(I23/2)*J23</f>
        <v>15.260709225611938</v>
      </c>
      <c r="M23" s="140">
        <f t="shared" ref="M23:M34" si="4">K23+L23</f>
        <v>4503.7045991114765</v>
      </c>
      <c r="N23" s="4">
        <f t="shared" si="1"/>
        <v>14</v>
      </c>
      <c r="O23" s="115"/>
      <c r="P23" s="254"/>
    </row>
    <row r="24" spans="1:21" x14ac:dyDescent="0.25">
      <c r="A24" s="4">
        <f t="shared" si="0"/>
        <v>15</v>
      </c>
      <c r="B24" s="32" t="s">
        <v>1286</v>
      </c>
      <c r="C24" s="490" t="str">
        <f>C23</f>
        <v>2025</v>
      </c>
      <c r="D24" s="144">
        <f t="shared" si="2"/>
        <v>96012.306239549434</v>
      </c>
      <c r="E24" s="1214">
        <v>69522.187000000005</v>
      </c>
      <c r="F24" s="115">
        <f t="shared" si="3"/>
        <v>1472.6666666666667</v>
      </c>
      <c r="G24" s="115">
        <f>$G$35/12</f>
        <v>-301.64331700310498</v>
      </c>
      <c r="H24" s="8">
        <f>SUM(E24:G24)</f>
        <v>70693.210349663568</v>
      </c>
      <c r="I24" s="115">
        <f t="shared" ref="I24:I34" si="5">D24-H24</f>
        <v>25319.095889885866</v>
      </c>
      <c r="J24" s="142">
        <v>6.1999999999999998E-3</v>
      </c>
      <c r="K24" s="145">
        <f>M23+I24</f>
        <v>29822.800488997342</v>
      </c>
      <c r="L24" s="144">
        <f t="shared" ref="L24:L34" si="6">(M23+K24)/2*J24</f>
        <v>106.41216577313733</v>
      </c>
      <c r="M24" s="144">
        <f t="shared" si="4"/>
        <v>29929.212654770479</v>
      </c>
      <c r="N24" s="4">
        <f t="shared" si="1"/>
        <v>15</v>
      </c>
      <c r="O24" s="153"/>
    </row>
    <row r="25" spans="1:21" x14ac:dyDescent="0.25">
      <c r="A25" s="4">
        <f t="shared" si="0"/>
        <v>16</v>
      </c>
      <c r="B25" s="32" t="s">
        <v>1287</v>
      </c>
      <c r="C25" s="490" t="str">
        <f>C23</f>
        <v>2025</v>
      </c>
      <c r="D25" s="144">
        <f t="shared" si="2"/>
        <v>96012.306239549434</v>
      </c>
      <c r="E25" s="1214">
        <v>72826.266000000003</v>
      </c>
      <c r="F25" s="115">
        <f t="shared" si="3"/>
        <v>1472.6666666666667</v>
      </c>
      <c r="G25" s="115">
        <f t="shared" ref="G25:G27" si="7">$G$35/12</f>
        <v>-301.64331700310498</v>
      </c>
      <c r="H25" s="8">
        <f t="shared" ref="H25:H33" si="8">SUM(E25:G25)</f>
        <v>73997.289349663566</v>
      </c>
      <c r="I25" s="115">
        <f t="shared" si="5"/>
        <v>22015.016889885868</v>
      </c>
      <c r="J25" s="142">
        <v>6.7999999999999996E-3</v>
      </c>
      <c r="K25" s="145">
        <f>M24+I25</f>
        <v>51944.229544656351</v>
      </c>
      <c r="L25" s="144">
        <f>(M24+K25)/2*J25</f>
        <v>278.36970347805124</v>
      </c>
      <c r="M25" s="144">
        <f t="shared" si="4"/>
        <v>52222.5992481344</v>
      </c>
      <c r="N25" s="4">
        <f t="shared" si="1"/>
        <v>16</v>
      </c>
      <c r="O25" s="153"/>
    </row>
    <row r="26" spans="1:21" x14ac:dyDescent="0.25">
      <c r="A26" s="4">
        <f t="shared" si="0"/>
        <v>17</v>
      </c>
      <c r="B26" s="32" t="s">
        <v>1288</v>
      </c>
      <c r="C26" s="490" t="str">
        <f>C23</f>
        <v>2025</v>
      </c>
      <c r="D26" s="144">
        <f t="shared" si="2"/>
        <v>96012.306239549434</v>
      </c>
      <c r="E26" s="1214">
        <v>66511.13</v>
      </c>
      <c r="F26" s="115">
        <f t="shared" si="3"/>
        <v>1472.6666666666667</v>
      </c>
      <c r="G26" s="115">
        <f t="shared" si="7"/>
        <v>-301.64331700310498</v>
      </c>
      <c r="H26" s="8">
        <f t="shared" si="8"/>
        <v>67682.153349663567</v>
      </c>
      <c r="I26" s="115">
        <f>D26-H26</f>
        <v>28330.152889885867</v>
      </c>
      <c r="J26" s="142">
        <v>6.1999999999999998E-3</v>
      </c>
      <c r="K26" s="145">
        <f>M25+I26</f>
        <v>80552.752138020267</v>
      </c>
      <c r="L26" s="144">
        <f>(M25+K26)/2*J26</f>
        <v>411.6035892970794</v>
      </c>
      <c r="M26" s="144">
        <f t="shared" si="4"/>
        <v>80964.35572731735</v>
      </c>
      <c r="N26" s="4">
        <f t="shared" si="1"/>
        <v>17</v>
      </c>
      <c r="O26" s="153"/>
      <c r="Q26" s="491"/>
    </row>
    <row r="27" spans="1:21" x14ac:dyDescent="0.25">
      <c r="A27" s="4">
        <f t="shared" si="0"/>
        <v>18</v>
      </c>
      <c r="B27" s="32" t="s">
        <v>1289</v>
      </c>
      <c r="C27" s="490" t="str">
        <f>C23</f>
        <v>2025</v>
      </c>
      <c r="D27" s="144">
        <f t="shared" si="2"/>
        <v>96012.306239549434</v>
      </c>
      <c r="E27" s="1214">
        <v>66671.585999999996</v>
      </c>
      <c r="F27" s="115">
        <f t="shared" si="3"/>
        <v>1472.6666666666667</v>
      </c>
      <c r="G27" s="115">
        <f t="shared" si="7"/>
        <v>-301.64331700310498</v>
      </c>
      <c r="H27" s="8">
        <f t="shared" si="8"/>
        <v>67842.609349663559</v>
      </c>
      <c r="I27" s="115">
        <f t="shared" si="5"/>
        <v>28169.696889885876</v>
      </c>
      <c r="J27" s="142">
        <v>6.4000000000000003E-3</v>
      </c>
      <c r="K27" s="145">
        <f t="shared" ref="K27:K34" si="9">M26+I27</f>
        <v>109134.05261720323</v>
      </c>
      <c r="L27" s="144">
        <f t="shared" si="6"/>
        <v>608.31490670246592</v>
      </c>
      <c r="M27" s="144">
        <f t="shared" si="4"/>
        <v>109742.36752390569</v>
      </c>
      <c r="N27" s="4">
        <f t="shared" si="1"/>
        <v>18</v>
      </c>
      <c r="O27" s="153"/>
    </row>
    <row r="28" spans="1:21" x14ac:dyDescent="0.25">
      <c r="A28" s="4">
        <f t="shared" si="0"/>
        <v>19</v>
      </c>
      <c r="B28" s="32" t="s">
        <v>1290</v>
      </c>
      <c r="C28" s="490" t="str">
        <f>C23</f>
        <v>2025</v>
      </c>
      <c r="D28" s="144"/>
      <c r="E28" s="1214"/>
      <c r="F28" s="115"/>
      <c r="G28" s="115"/>
      <c r="H28" s="8">
        <f t="shared" si="8"/>
        <v>0</v>
      </c>
      <c r="I28" s="115">
        <f t="shared" si="5"/>
        <v>0</v>
      </c>
      <c r="J28" s="142">
        <v>6.1999999999999998E-3</v>
      </c>
      <c r="K28" s="145">
        <f t="shared" si="9"/>
        <v>109742.36752390569</v>
      </c>
      <c r="L28" s="144">
        <f>(M27+K28)/2*J28</f>
        <v>680.40267864821521</v>
      </c>
      <c r="M28" s="144">
        <f t="shared" si="4"/>
        <v>110422.7702025539</v>
      </c>
      <c r="N28" s="4">
        <f t="shared" si="1"/>
        <v>19</v>
      </c>
      <c r="O28" s="153"/>
    </row>
    <row r="29" spans="1:21" x14ac:dyDescent="0.25">
      <c r="A29" s="4">
        <f t="shared" si="0"/>
        <v>20</v>
      </c>
      <c r="B29" s="32" t="s">
        <v>1291</v>
      </c>
      <c r="C29" s="490" t="str">
        <f>C23</f>
        <v>2025</v>
      </c>
      <c r="D29" s="144"/>
      <c r="E29" s="1214"/>
      <c r="F29" s="115"/>
      <c r="G29" s="115"/>
      <c r="H29" s="8">
        <f t="shared" si="8"/>
        <v>0</v>
      </c>
      <c r="I29" s="115">
        <f t="shared" si="5"/>
        <v>0</v>
      </c>
      <c r="J29" s="142">
        <v>6.4000000000000003E-3</v>
      </c>
      <c r="K29" s="145">
        <f t="shared" si="9"/>
        <v>110422.7702025539</v>
      </c>
      <c r="L29" s="144">
        <f t="shared" si="6"/>
        <v>706.705729296345</v>
      </c>
      <c r="M29" s="144">
        <f t="shared" si="4"/>
        <v>111129.47593185025</v>
      </c>
      <c r="N29" s="4">
        <f t="shared" si="1"/>
        <v>20</v>
      </c>
      <c r="O29" s="153"/>
    </row>
    <row r="30" spans="1:21" x14ac:dyDescent="0.25">
      <c r="A30" s="4">
        <f t="shared" si="0"/>
        <v>21</v>
      </c>
      <c r="B30" s="32" t="s">
        <v>1292</v>
      </c>
      <c r="C30" s="490" t="str">
        <f>C23</f>
        <v>2025</v>
      </c>
      <c r="D30" s="144"/>
      <c r="E30" s="1214"/>
      <c r="F30" s="115"/>
      <c r="G30" s="115"/>
      <c r="H30" s="8">
        <f t="shared" si="8"/>
        <v>0</v>
      </c>
      <c r="I30" s="115">
        <f t="shared" si="5"/>
        <v>0</v>
      </c>
      <c r="J30" s="142">
        <v>6.4000000000000003E-3</v>
      </c>
      <c r="K30" s="145">
        <f t="shared" si="9"/>
        <v>111129.47593185025</v>
      </c>
      <c r="L30" s="144">
        <f t="shared" si="6"/>
        <v>711.22864596384159</v>
      </c>
      <c r="M30" s="144">
        <f t="shared" si="4"/>
        <v>111840.70457781409</v>
      </c>
      <c r="N30" s="4">
        <f t="shared" si="1"/>
        <v>21</v>
      </c>
      <c r="O30" s="153"/>
    </row>
    <row r="31" spans="1:21" x14ac:dyDescent="0.25">
      <c r="A31" s="4">
        <f t="shared" si="0"/>
        <v>22</v>
      </c>
      <c r="B31" s="32" t="s">
        <v>1293</v>
      </c>
      <c r="C31" s="490" t="str">
        <f>C23</f>
        <v>2025</v>
      </c>
      <c r="D31" s="144"/>
      <c r="E31" s="1214"/>
      <c r="F31" s="115"/>
      <c r="G31" s="115"/>
      <c r="H31" s="8">
        <f t="shared" si="8"/>
        <v>0</v>
      </c>
      <c r="I31" s="115">
        <f t="shared" si="5"/>
        <v>0</v>
      </c>
      <c r="J31" s="142">
        <v>6.1999999999999998E-3</v>
      </c>
      <c r="K31" s="145">
        <f t="shared" si="9"/>
        <v>111840.70457781409</v>
      </c>
      <c r="L31" s="144">
        <f t="shared" si="6"/>
        <v>693.41236838244731</v>
      </c>
      <c r="M31" s="144">
        <f t="shared" si="4"/>
        <v>112534.11694619653</v>
      </c>
      <c r="N31" s="4">
        <f t="shared" si="1"/>
        <v>22</v>
      </c>
      <c r="O31" s="153"/>
    </row>
    <row r="32" spans="1:21" x14ac:dyDescent="0.25">
      <c r="A32" s="4">
        <f t="shared" si="0"/>
        <v>23</v>
      </c>
      <c r="B32" s="32" t="s">
        <v>1294</v>
      </c>
      <c r="C32" s="490" t="str">
        <f>C23</f>
        <v>2025</v>
      </c>
      <c r="D32" s="144"/>
      <c r="E32" s="1214"/>
      <c r="F32" s="115"/>
      <c r="G32" s="115"/>
      <c r="H32" s="8">
        <f t="shared" si="8"/>
        <v>0</v>
      </c>
      <c r="I32" s="115">
        <f t="shared" si="5"/>
        <v>0</v>
      </c>
      <c r="J32" s="142">
        <v>6.4000000000000003E-3</v>
      </c>
      <c r="K32" s="145">
        <f t="shared" si="9"/>
        <v>112534.11694619653</v>
      </c>
      <c r="L32" s="144">
        <f t="shared" si="6"/>
        <v>720.21834845565786</v>
      </c>
      <c r="M32" s="144">
        <f t="shared" si="4"/>
        <v>113254.33529465219</v>
      </c>
      <c r="N32" s="4">
        <f t="shared" si="1"/>
        <v>23</v>
      </c>
      <c r="O32" s="153"/>
    </row>
    <row r="33" spans="1:15" x14ac:dyDescent="0.25">
      <c r="A33" s="4">
        <f t="shared" si="0"/>
        <v>24</v>
      </c>
      <c r="B33" s="32" t="s">
        <v>1295</v>
      </c>
      <c r="C33" s="490" t="str">
        <f>C23</f>
        <v>2025</v>
      </c>
      <c r="D33" s="144"/>
      <c r="E33" s="1214"/>
      <c r="F33" s="115"/>
      <c r="G33" s="115"/>
      <c r="H33" s="8">
        <f t="shared" si="8"/>
        <v>0</v>
      </c>
      <c r="I33" s="115">
        <f t="shared" si="5"/>
        <v>0</v>
      </c>
      <c r="J33" s="142">
        <v>6.1999999999999998E-3</v>
      </c>
      <c r="K33" s="145">
        <f t="shared" si="9"/>
        <v>113254.33529465219</v>
      </c>
      <c r="L33" s="8">
        <f t="shared" si="6"/>
        <v>702.17687882684356</v>
      </c>
      <c r="M33" s="8">
        <f t="shared" si="4"/>
        <v>113956.51217347903</v>
      </c>
      <c r="N33" s="4">
        <f t="shared" si="1"/>
        <v>24</v>
      </c>
      <c r="O33" s="153"/>
    </row>
    <row r="34" spans="1:15" x14ac:dyDescent="0.25">
      <c r="A34" s="4">
        <f t="shared" si="0"/>
        <v>25</v>
      </c>
      <c r="B34" s="1056" t="s">
        <v>1296</v>
      </c>
      <c r="C34" s="1057" t="str">
        <f>C23</f>
        <v>2025</v>
      </c>
      <c r="D34" s="1058"/>
      <c r="E34" s="1214"/>
      <c r="F34" s="1059"/>
      <c r="G34" s="1059"/>
      <c r="H34" s="911">
        <f>SUM(E34:G34)</f>
        <v>0</v>
      </c>
      <c r="I34" s="1059">
        <f t="shared" si="5"/>
        <v>0</v>
      </c>
      <c r="J34" s="1031">
        <v>6.4000000000000003E-3</v>
      </c>
      <c r="K34" s="1060">
        <f t="shared" si="9"/>
        <v>113956.51217347903</v>
      </c>
      <c r="L34" s="911">
        <f t="shared" si="6"/>
        <v>729.32167791026586</v>
      </c>
      <c r="M34" s="911">
        <f t="shared" si="4"/>
        <v>114685.8338513893</v>
      </c>
      <c r="N34" s="4">
        <f t="shared" si="1"/>
        <v>25</v>
      </c>
      <c r="O34" s="153"/>
    </row>
    <row r="35" spans="1:15" ht="16.5" thickBot="1" x14ac:dyDescent="0.3">
      <c r="A35" s="4">
        <f t="shared" si="0"/>
        <v>26</v>
      </c>
      <c r="D35" s="146">
        <f>SUM(D23:D34)</f>
        <v>480061.53119774716</v>
      </c>
      <c r="E35" s="146">
        <f>SUM(E23:E34)</f>
        <v>365884.00800000003</v>
      </c>
      <c r="F35" s="147">
        <f>7626+10046</f>
        <v>17672</v>
      </c>
      <c r="G35" s="147">
        <v>-3619.71980403726</v>
      </c>
      <c r="H35" s="146">
        <f>SUM(H23:H34)</f>
        <v>371739.12474831782</v>
      </c>
      <c r="I35" s="146">
        <f>SUM(I23:I34)</f>
        <v>108322.40644942934</v>
      </c>
      <c r="J35" s="148"/>
      <c r="K35" s="149"/>
      <c r="L35" s="95">
        <f>SUM(L23:L34)</f>
        <v>6363.4274019599625</v>
      </c>
      <c r="M35" s="682"/>
      <c r="N35" s="4">
        <f t="shared" si="1"/>
        <v>26</v>
      </c>
    </row>
    <row r="36" spans="1:15" ht="16.5" thickTop="1" x14ac:dyDescent="0.25">
      <c r="D36" s="161"/>
      <c r="E36" s="161"/>
      <c r="F36" s="888"/>
      <c r="G36" s="161"/>
      <c r="H36" s="888"/>
      <c r="I36" s="888"/>
      <c r="J36" s="161"/>
      <c r="K36" s="161"/>
      <c r="L36" s="683"/>
      <c r="M36" s="683"/>
    </row>
    <row r="37" spans="1:15" x14ac:dyDescent="0.25">
      <c r="B37" s="36"/>
      <c r="F37" s="492"/>
      <c r="G37" s="492"/>
    </row>
    <row r="38" spans="1:15" ht="18.75" x14ac:dyDescent="0.25">
      <c r="A38" s="252">
        <v>1</v>
      </c>
      <c r="B38" s="5" t="s">
        <v>1297</v>
      </c>
      <c r="F38" s="492"/>
      <c r="G38" s="492"/>
    </row>
    <row r="39" spans="1:15" ht="18.75" x14ac:dyDescent="0.25">
      <c r="A39" s="252">
        <v>2</v>
      </c>
      <c r="B39" s="5" t="s">
        <v>2126</v>
      </c>
    </row>
    <row r="40" spans="1:15" ht="18.75" x14ac:dyDescent="0.25">
      <c r="A40" s="252">
        <v>3</v>
      </c>
      <c r="B40" s="5" t="s">
        <v>1298</v>
      </c>
    </row>
    <row r="41" spans="1:15" ht="18.75" x14ac:dyDescent="0.25">
      <c r="A41" s="252">
        <v>4</v>
      </c>
      <c r="B41" s="5" t="s">
        <v>2127</v>
      </c>
    </row>
    <row r="42" spans="1:15" ht="18.75" x14ac:dyDescent="0.25">
      <c r="A42" s="252"/>
      <c r="B42" s="5" t="s">
        <v>2098</v>
      </c>
    </row>
    <row r="43" spans="1:15" ht="18.75" x14ac:dyDescent="0.25">
      <c r="A43" s="252">
        <v>5</v>
      </c>
      <c r="B43" s="5" t="s">
        <v>1299</v>
      </c>
      <c r="C43" s="438"/>
    </row>
    <row r="44" spans="1:15" ht="18.75" x14ac:dyDescent="0.25">
      <c r="A44" s="252">
        <v>6</v>
      </c>
      <c r="B44" s="5" t="s">
        <v>1300</v>
      </c>
    </row>
    <row r="45" spans="1:15" ht="18.75" x14ac:dyDescent="0.25">
      <c r="A45" s="252">
        <v>7</v>
      </c>
      <c r="B45" s="5" t="s">
        <v>1301</v>
      </c>
    </row>
    <row r="46" spans="1:15" customFormat="1" ht="15" x14ac:dyDescent="0.25"/>
    <row r="47" spans="1:15" customFormat="1" ht="15" x14ac:dyDescent="0.25"/>
    <row r="48" spans="1:15" customFormat="1" ht="15" x14ac:dyDescent="0.25"/>
    <row r="49" customFormat="1" ht="15" x14ac:dyDescent="0.25"/>
  </sheetData>
  <mergeCells count="4">
    <mergeCell ref="B2:M2"/>
    <mergeCell ref="B3:M3"/>
    <mergeCell ref="B4:M4"/>
    <mergeCell ref="B5:M5"/>
  </mergeCells>
  <printOptions horizontalCentered="1"/>
  <pageMargins left="0.5" right="0.5" top="0.5" bottom="0.5" header="0.25" footer="0.25"/>
  <pageSetup scale="49" orientation="landscape" r:id="rId1"/>
  <headerFooter scaleWithDoc="0">
    <oddFooter>&amp;C&amp;"Times New Roman,Regular"&amp;10&amp;A</oddFooter>
  </headerFooter>
  <rowBreaks count="1" manualBreakCount="1">
    <brk id="52" max="14" man="1"/>
  </rowBreaks>
  <customProperties>
    <customPr name="_pios_id" r:id="rId2"/>
    <customPr name="EpmWorksheetKeyString_GUID" r:id="rId3"/>
  </customPropertie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A273-2F74-4DE7-93B3-790219F33E24}">
  <sheetPr>
    <pageSetUpPr fitToPage="1"/>
  </sheetPr>
  <dimension ref="A1:U64"/>
  <sheetViews>
    <sheetView zoomScale="80" zoomScaleNormal="80" workbookViewId="0">
      <selection activeCell="Q36" sqref="Q36"/>
    </sheetView>
  </sheetViews>
  <sheetFormatPr defaultColWidth="9.28515625" defaultRowHeight="15.75" x14ac:dyDescent="0.25"/>
  <cols>
    <col min="1" max="1" width="5.28515625" style="340" customWidth="1"/>
    <col min="2" max="2" width="12.5703125" style="5" customWidth="1"/>
    <col min="3" max="3" width="20" style="5" customWidth="1"/>
    <col min="4" max="7" width="21.5703125" style="5" customWidth="1"/>
    <col min="8" max="8" width="22.7109375" style="5" bestFit="1" customWidth="1"/>
    <col min="9" max="13" width="21.5703125" style="5" customWidth="1"/>
    <col min="14" max="14" width="5.28515625" style="340" customWidth="1"/>
    <col min="15" max="15" width="13.5703125" style="5" customWidth="1"/>
    <col min="16" max="16" width="12.5703125" style="5" customWidth="1"/>
    <col min="17" max="16384" width="9.28515625" style="5"/>
  </cols>
  <sheetData>
    <row r="1" spans="1:14" x14ac:dyDescent="0.25">
      <c r="I1" s="276"/>
    </row>
    <row r="2" spans="1:14" x14ac:dyDescent="0.25">
      <c r="B2" s="1334" t="s">
        <v>0</v>
      </c>
      <c r="C2" s="1334"/>
      <c r="D2" s="1334"/>
      <c r="E2" s="1334"/>
      <c r="F2" s="1334"/>
      <c r="G2" s="1334"/>
      <c r="H2" s="1334"/>
      <c r="I2" s="1334"/>
      <c r="J2" s="1334"/>
      <c r="K2" s="1334"/>
      <c r="L2" s="1334"/>
      <c r="M2" s="1334"/>
      <c r="N2" s="482"/>
    </row>
    <row r="3" spans="1:14" x14ac:dyDescent="0.25">
      <c r="B3" s="1339" t="s">
        <v>2073</v>
      </c>
      <c r="C3" s="1339"/>
      <c r="D3" s="1339"/>
      <c r="E3" s="1339"/>
      <c r="F3" s="1339"/>
      <c r="G3" s="1339"/>
      <c r="H3" s="1339"/>
      <c r="I3" s="1339"/>
      <c r="J3" s="1339"/>
      <c r="K3" s="1339"/>
      <c r="L3" s="1339"/>
      <c r="M3" s="1339"/>
      <c r="N3" s="482"/>
    </row>
    <row r="4" spans="1:14" x14ac:dyDescent="0.25">
      <c r="B4" s="1339" t="s">
        <v>2074</v>
      </c>
      <c r="C4" s="1339"/>
      <c r="D4" s="1339"/>
      <c r="E4" s="1339"/>
      <c r="F4" s="1339"/>
      <c r="G4" s="1339"/>
      <c r="H4" s="1339"/>
      <c r="I4" s="1339"/>
      <c r="J4" s="1339"/>
      <c r="K4" s="1339"/>
      <c r="L4" s="1339"/>
      <c r="M4" s="1339"/>
      <c r="N4" s="482"/>
    </row>
    <row r="5" spans="1:14" x14ac:dyDescent="0.25">
      <c r="B5" s="1335" t="s">
        <v>4</v>
      </c>
      <c r="C5" s="1335"/>
      <c r="D5" s="1335"/>
      <c r="E5" s="1335"/>
      <c r="F5" s="1335"/>
      <c r="G5" s="1335"/>
      <c r="H5" s="1335"/>
      <c r="I5" s="1335"/>
      <c r="J5" s="1335"/>
      <c r="K5" s="1335"/>
      <c r="L5" s="1335"/>
      <c r="M5" s="1335"/>
      <c r="N5" s="482"/>
    </row>
    <row r="6" spans="1:14" x14ac:dyDescent="0.25">
      <c r="A6" s="482"/>
      <c r="B6" s="482"/>
      <c r="C6" s="482"/>
      <c r="D6" s="482"/>
      <c r="E6" s="482"/>
      <c r="F6" s="482"/>
      <c r="G6" s="482"/>
      <c r="H6" s="482"/>
      <c r="I6" s="482"/>
      <c r="J6" s="482"/>
      <c r="K6" s="482"/>
      <c r="L6" s="482"/>
      <c r="M6" s="482"/>
      <c r="N6" s="482"/>
    </row>
    <row r="7" spans="1:14" x14ac:dyDescent="0.25">
      <c r="A7" s="4" t="s">
        <v>5</v>
      </c>
      <c r="B7" s="339"/>
      <c r="E7" s="32"/>
      <c r="F7" s="253"/>
      <c r="G7" s="253"/>
      <c r="N7" s="4" t="s">
        <v>5</v>
      </c>
    </row>
    <row r="8" spans="1:14" x14ac:dyDescent="0.25">
      <c r="A8" s="4" t="s">
        <v>6</v>
      </c>
      <c r="B8" s="339"/>
      <c r="E8" s="32"/>
      <c r="F8" s="253"/>
      <c r="G8" s="253"/>
      <c r="N8" s="4" t="s">
        <v>6</v>
      </c>
    </row>
    <row r="9" spans="1:14" x14ac:dyDescent="0.25">
      <c r="A9" s="473"/>
      <c r="B9" s="339"/>
      <c r="E9" s="32"/>
      <c r="F9" s="848" t="s">
        <v>8</v>
      </c>
      <c r="G9" s="848"/>
      <c r="N9" s="473"/>
    </row>
    <row r="10" spans="1:14" ht="18.75" x14ac:dyDescent="0.25">
      <c r="A10" s="4">
        <v>1</v>
      </c>
      <c r="B10" s="32" t="s">
        <v>1254</v>
      </c>
      <c r="C10" s="29"/>
      <c r="E10" s="82">
        <f>'TO6 True-Up BK-1'!E94</f>
        <v>1134066.8329660275</v>
      </c>
      <c r="F10" s="32" t="s">
        <v>1524</v>
      </c>
      <c r="G10" s="32"/>
      <c r="H10" s="31"/>
      <c r="I10" s="31"/>
      <c r="N10" s="4">
        <f>A10</f>
        <v>1</v>
      </c>
    </row>
    <row r="11" spans="1:14" x14ac:dyDescent="0.25">
      <c r="A11" s="4">
        <f>A10+1</f>
        <v>2</v>
      </c>
      <c r="B11" s="5" t="s">
        <v>1255</v>
      </c>
      <c r="D11" s="224">
        <v>1.0207000000000001E-2</v>
      </c>
      <c r="E11" s="6">
        <f>E10*D11</f>
        <v>11575.420164084244</v>
      </c>
      <c r="F11" s="5" t="s">
        <v>1256</v>
      </c>
      <c r="H11" s="31"/>
      <c r="I11" s="487"/>
      <c r="J11" s="487"/>
      <c r="N11" s="4">
        <f>N10+1</f>
        <v>2</v>
      </c>
    </row>
    <row r="12" spans="1:14" ht="16.5" thickBot="1" x14ac:dyDescent="0.3">
      <c r="A12" s="4">
        <f t="shared" ref="A12:A35" si="0">A11+1</f>
        <v>3</v>
      </c>
      <c r="B12" s="5" t="s">
        <v>1463</v>
      </c>
      <c r="D12" s="224">
        <v>2.0500000000000002E-3</v>
      </c>
      <c r="E12" s="681">
        <f>E10*D12</f>
        <v>2324.8370075803568</v>
      </c>
      <c r="F12" s="488" t="s">
        <v>1257</v>
      </c>
      <c r="G12" s="488"/>
      <c r="H12"/>
      <c r="I12"/>
      <c r="J12"/>
      <c r="N12" s="4">
        <f t="shared" ref="N12:N35" si="1">N11+1</f>
        <v>3</v>
      </c>
    </row>
    <row r="13" spans="1:14" ht="16.5" thickTop="1" x14ac:dyDescent="0.25">
      <c r="A13" s="4">
        <f t="shared" si="0"/>
        <v>4</v>
      </c>
      <c r="B13" s="5" t="s">
        <v>1258</v>
      </c>
      <c r="E13" s="10">
        <f>E10+E11+E12</f>
        <v>1147967.0901376922</v>
      </c>
      <c r="F13" s="488" t="s">
        <v>458</v>
      </c>
      <c r="G13" s="488"/>
      <c r="H13" s="4"/>
      <c r="I13" s="487"/>
      <c r="J13" s="487"/>
      <c r="N13" s="4">
        <f t="shared" si="1"/>
        <v>4</v>
      </c>
    </row>
    <row r="14" spans="1:14" x14ac:dyDescent="0.25">
      <c r="A14" s="4">
        <f t="shared" si="0"/>
        <v>5</v>
      </c>
      <c r="E14" s="341"/>
      <c r="I14" s="487"/>
      <c r="J14" s="487"/>
      <c r="N14" s="4">
        <f t="shared" si="1"/>
        <v>5</v>
      </c>
    </row>
    <row r="15" spans="1:14" x14ac:dyDescent="0.25">
      <c r="A15" s="4">
        <f t="shared" si="0"/>
        <v>6</v>
      </c>
      <c r="C15" s="489" t="s">
        <v>1137</v>
      </c>
      <c r="D15" s="489" t="s">
        <v>1138</v>
      </c>
      <c r="E15" s="489" t="s">
        <v>1139</v>
      </c>
      <c r="F15" s="489" t="s">
        <v>1140</v>
      </c>
      <c r="G15" s="489" t="s">
        <v>1141</v>
      </c>
      <c r="H15" s="489" t="s">
        <v>1142</v>
      </c>
      <c r="I15" s="489" t="s">
        <v>1143</v>
      </c>
      <c r="J15" s="489" t="s">
        <v>1144</v>
      </c>
      <c r="K15" s="489" t="s">
        <v>1145</v>
      </c>
      <c r="L15" s="489" t="s">
        <v>1146</v>
      </c>
      <c r="M15" s="489" t="s">
        <v>1147</v>
      </c>
      <c r="N15" s="4">
        <f t="shared" si="1"/>
        <v>6</v>
      </c>
    </row>
    <row r="16" spans="1:14" x14ac:dyDescent="0.25">
      <c r="A16" s="4">
        <f t="shared" si="0"/>
        <v>7</v>
      </c>
      <c r="B16" s="341" t="s">
        <v>1259</v>
      </c>
      <c r="C16" s="4"/>
      <c r="D16" s="4" t="s">
        <v>1260</v>
      </c>
      <c r="E16" s="4"/>
      <c r="F16" s="4" t="s">
        <v>1261</v>
      </c>
      <c r="G16" s="4"/>
      <c r="H16" s="34" t="s">
        <v>1262</v>
      </c>
      <c r="I16" s="34" t="s">
        <v>1263</v>
      </c>
      <c r="J16" s="4"/>
      <c r="K16" s="4" t="s">
        <v>1264</v>
      </c>
      <c r="L16" s="4" t="s">
        <v>1265</v>
      </c>
      <c r="M16" s="34" t="s">
        <v>1266</v>
      </c>
      <c r="N16" s="4">
        <f t="shared" si="1"/>
        <v>7</v>
      </c>
    </row>
    <row r="17" spans="1:21" x14ac:dyDescent="0.25">
      <c r="A17" s="4">
        <f t="shared" si="0"/>
        <v>8</v>
      </c>
      <c r="B17" s="341"/>
      <c r="C17" s="4"/>
      <c r="D17" s="4"/>
      <c r="E17" s="4"/>
      <c r="F17" s="4"/>
      <c r="G17" s="4"/>
      <c r="H17" s="34"/>
      <c r="I17" s="34"/>
      <c r="J17" s="4"/>
      <c r="K17" s="4"/>
      <c r="L17" s="4"/>
      <c r="M17" s="34"/>
      <c r="N17" s="4">
        <f t="shared" si="1"/>
        <v>8</v>
      </c>
    </row>
    <row r="18" spans="1:21" x14ac:dyDescent="0.25">
      <c r="A18" s="4">
        <f t="shared" si="0"/>
        <v>9</v>
      </c>
      <c r="C18" s="489"/>
      <c r="H18" s="482"/>
      <c r="K18" s="217" t="s">
        <v>1267</v>
      </c>
      <c r="M18" s="217" t="s">
        <v>1267</v>
      </c>
      <c r="N18" s="4">
        <f t="shared" si="1"/>
        <v>9</v>
      </c>
    </row>
    <row r="19" spans="1:21" x14ac:dyDescent="0.25">
      <c r="A19" s="4">
        <f t="shared" si="0"/>
        <v>10</v>
      </c>
      <c r="C19" s="489"/>
      <c r="F19" s="482"/>
      <c r="G19" s="482"/>
      <c r="H19" s="217"/>
      <c r="I19" s="217" t="s">
        <v>1268</v>
      </c>
      <c r="J19" s="217"/>
      <c r="K19" s="217" t="s">
        <v>1269</v>
      </c>
      <c r="M19" s="217" t="s">
        <v>1269</v>
      </c>
      <c r="N19" s="4">
        <f t="shared" si="1"/>
        <v>10</v>
      </c>
    </row>
    <row r="20" spans="1:21" x14ac:dyDescent="0.25">
      <c r="A20" s="4">
        <f t="shared" si="0"/>
        <v>11</v>
      </c>
      <c r="C20" s="217"/>
      <c r="D20" s="217" t="s">
        <v>1268</v>
      </c>
      <c r="E20" s="217" t="s">
        <v>1268</v>
      </c>
      <c r="F20" s="217" t="s">
        <v>1270</v>
      </c>
      <c r="G20" s="217"/>
      <c r="H20" s="217" t="s">
        <v>1271</v>
      </c>
      <c r="I20" s="217" t="s">
        <v>1269</v>
      </c>
      <c r="J20" s="217" t="s">
        <v>1268</v>
      </c>
      <c r="K20" s="217" t="s">
        <v>1272</v>
      </c>
      <c r="M20" s="217" t="s">
        <v>1272</v>
      </c>
      <c r="N20" s="4">
        <f t="shared" si="1"/>
        <v>11</v>
      </c>
    </row>
    <row r="21" spans="1:21" x14ac:dyDescent="0.25">
      <c r="A21" s="4">
        <f t="shared" si="0"/>
        <v>12</v>
      </c>
      <c r="C21" s="217"/>
      <c r="D21" s="217" t="s">
        <v>1273</v>
      </c>
      <c r="E21" s="217" t="s">
        <v>1273</v>
      </c>
      <c r="F21" s="217" t="s">
        <v>1273</v>
      </c>
      <c r="G21" s="217" t="s">
        <v>1274</v>
      </c>
      <c r="H21" s="217" t="s">
        <v>1273</v>
      </c>
      <c r="I21" s="217" t="s">
        <v>1272</v>
      </c>
      <c r="J21" s="217" t="s">
        <v>1275</v>
      </c>
      <c r="K21" s="217" t="s">
        <v>1276</v>
      </c>
      <c r="L21" s="217"/>
      <c r="M21" s="217" t="s">
        <v>1276</v>
      </c>
      <c r="N21" s="4">
        <f t="shared" si="1"/>
        <v>12</v>
      </c>
    </row>
    <row r="22" spans="1:21" ht="18.75" x14ac:dyDescent="0.25">
      <c r="A22" s="4">
        <f t="shared" si="0"/>
        <v>13</v>
      </c>
      <c r="B22" s="253" t="s">
        <v>260</v>
      </c>
      <c r="C22" s="253" t="s">
        <v>1277</v>
      </c>
      <c r="D22" s="253" t="s">
        <v>1278</v>
      </c>
      <c r="E22" s="253" t="s">
        <v>1890</v>
      </c>
      <c r="F22" s="253" t="s">
        <v>1279</v>
      </c>
      <c r="G22" s="253" t="s">
        <v>1280</v>
      </c>
      <c r="H22" s="253" t="s">
        <v>1281</v>
      </c>
      <c r="I22" s="253" t="s">
        <v>1276</v>
      </c>
      <c r="J22" s="253" t="s">
        <v>1282</v>
      </c>
      <c r="K22" s="253" t="s">
        <v>1283</v>
      </c>
      <c r="L22" s="501" t="s">
        <v>1275</v>
      </c>
      <c r="M22" s="253" t="s">
        <v>1284</v>
      </c>
      <c r="N22" s="4">
        <f t="shared" si="1"/>
        <v>13</v>
      </c>
      <c r="O22" s="276"/>
      <c r="P22" s="276"/>
      <c r="Q22"/>
      <c r="R22"/>
      <c r="S22"/>
      <c r="T22"/>
      <c r="U22"/>
    </row>
    <row r="23" spans="1:21" x14ac:dyDescent="0.25">
      <c r="A23" s="4">
        <f t="shared" si="0"/>
        <v>14</v>
      </c>
      <c r="B23" s="32" t="s">
        <v>1285</v>
      </c>
      <c r="C23" s="490" t="str">
        <f>RIGHT(B4,4)</f>
        <v>2025</v>
      </c>
      <c r="D23" s="140"/>
      <c r="E23" s="1263"/>
      <c r="F23" s="141"/>
      <c r="G23" s="141"/>
      <c r="H23" s="10">
        <f>SUM(E23:G23)</f>
        <v>0</v>
      </c>
      <c r="I23" s="141">
        <f>D23-H23</f>
        <v>0</v>
      </c>
      <c r="J23" s="142">
        <v>6.7999999999999996E-3</v>
      </c>
      <c r="K23" s="143">
        <f>I23</f>
        <v>0</v>
      </c>
      <c r="L23" s="140">
        <f>(I23/2)*J23</f>
        <v>0</v>
      </c>
      <c r="M23" s="140">
        <f t="shared" ref="M23:M34" si="2">K23+L23</f>
        <v>0</v>
      </c>
      <c r="N23" s="4">
        <f t="shared" si="1"/>
        <v>14</v>
      </c>
      <c r="O23" s="115"/>
      <c r="P23" s="254"/>
    </row>
    <row r="24" spans="1:21" x14ac:dyDescent="0.25">
      <c r="A24" s="4">
        <f t="shared" si="0"/>
        <v>15</v>
      </c>
      <c r="B24" s="32" t="s">
        <v>1286</v>
      </c>
      <c r="C24" s="490" t="str">
        <f>C23</f>
        <v>2025</v>
      </c>
      <c r="D24" s="144"/>
      <c r="E24" s="1263"/>
      <c r="F24" s="115"/>
      <c r="G24" s="115"/>
      <c r="H24" s="8">
        <f>SUM(E24:G24)</f>
        <v>0</v>
      </c>
      <c r="I24" s="115">
        <f t="shared" ref="I24:I34" si="3">D24-H24</f>
        <v>0</v>
      </c>
      <c r="J24" s="142">
        <v>6.1999999999999998E-3</v>
      </c>
      <c r="K24" s="145">
        <f>M23+I24</f>
        <v>0</v>
      </c>
      <c r="L24" s="144">
        <f t="shared" ref="L24:L34" si="4">(M23+K24)/2*J24</f>
        <v>0</v>
      </c>
      <c r="M24" s="144">
        <f t="shared" si="2"/>
        <v>0</v>
      </c>
      <c r="N24" s="4">
        <f t="shared" si="1"/>
        <v>15</v>
      </c>
      <c r="O24" s="153"/>
    </row>
    <row r="25" spans="1:21" x14ac:dyDescent="0.25">
      <c r="A25" s="4">
        <f t="shared" si="0"/>
        <v>16</v>
      </c>
      <c r="B25" s="32" t="s">
        <v>1287</v>
      </c>
      <c r="C25" s="490" t="str">
        <f>C23</f>
        <v>2025</v>
      </c>
      <c r="D25" s="144"/>
      <c r="E25" s="1263"/>
      <c r="F25" s="115"/>
      <c r="G25" s="115"/>
      <c r="H25" s="8">
        <f t="shared" ref="H25:H33" si="5">SUM(E25:G25)</f>
        <v>0</v>
      </c>
      <c r="I25" s="115">
        <f t="shared" si="3"/>
        <v>0</v>
      </c>
      <c r="J25" s="142">
        <v>6.7999999999999996E-3</v>
      </c>
      <c r="K25" s="145">
        <f>M24+I25</f>
        <v>0</v>
      </c>
      <c r="L25" s="144">
        <f>(M24+K25)/2*J25</f>
        <v>0</v>
      </c>
      <c r="M25" s="144">
        <f t="shared" si="2"/>
        <v>0</v>
      </c>
      <c r="N25" s="4">
        <f t="shared" si="1"/>
        <v>16</v>
      </c>
      <c r="O25" s="153"/>
    </row>
    <row r="26" spans="1:21" x14ac:dyDescent="0.25">
      <c r="A26" s="4">
        <f t="shared" si="0"/>
        <v>17</v>
      </c>
      <c r="B26" s="32" t="s">
        <v>1288</v>
      </c>
      <c r="C26" s="490" t="str">
        <f>C23</f>
        <v>2025</v>
      </c>
      <c r="D26" s="144"/>
      <c r="E26" s="1263"/>
      <c r="F26" s="115"/>
      <c r="G26" s="115"/>
      <c r="H26" s="8">
        <f t="shared" si="5"/>
        <v>0</v>
      </c>
      <c r="I26" s="115">
        <f>D26-H26</f>
        <v>0</v>
      </c>
      <c r="J26" s="142">
        <v>6.1999999999999998E-3</v>
      </c>
      <c r="K26" s="145">
        <f>M25+I26</f>
        <v>0</v>
      </c>
      <c r="L26" s="144">
        <f>(M25+K26)/2*J26</f>
        <v>0</v>
      </c>
      <c r="M26" s="144">
        <f t="shared" si="2"/>
        <v>0</v>
      </c>
      <c r="N26" s="4">
        <f t="shared" si="1"/>
        <v>17</v>
      </c>
      <c r="O26" s="153"/>
      <c r="Q26" s="491"/>
    </row>
    <row r="27" spans="1:21" x14ac:dyDescent="0.25">
      <c r="A27" s="4">
        <f t="shared" si="0"/>
        <v>18</v>
      </c>
      <c r="B27" s="32" t="s">
        <v>1289</v>
      </c>
      <c r="C27" s="490" t="str">
        <f>C23</f>
        <v>2025</v>
      </c>
      <c r="D27" s="144"/>
      <c r="E27" s="1263"/>
      <c r="F27" s="115"/>
      <c r="G27" s="115"/>
      <c r="H27" s="8">
        <f t="shared" si="5"/>
        <v>0</v>
      </c>
      <c r="I27" s="115">
        <f t="shared" si="3"/>
        <v>0</v>
      </c>
      <c r="J27" s="142">
        <v>6.4000000000000003E-3</v>
      </c>
      <c r="K27" s="145">
        <f t="shared" ref="K27:K34" si="6">M26+I27</f>
        <v>0</v>
      </c>
      <c r="L27" s="144">
        <f t="shared" si="4"/>
        <v>0</v>
      </c>
      <c r="M27" s="144">
        <f t="shared" si="2"/>
        <v>0</v>
      </c>
      <c r="N27" s="4">
        <f t="shared" si="1"/>
        <v>18</v>
      </c>
      <c r="O27" s="153"/>
    </row>
    <row r="28" spans="1:21" x14ac:dyDescent="0.25">
      <c r="A28" s="4">
        <f t="shared" si="0"/>
        <v>19</v>
      </c>
      <c r="B28" s="32" t="s">
        <v>1290</v>
      </c>
      <c r="C28" s="490" t="str">
        <f>C23</f>
        <v>2025</v>
      </c>
      <c r="D28" s="144">
        <f t="shared" ref="D28:D34" si="7">$E$13/12</f>
        <v>95663.924178141009</v>
      </c>
      <c r="E28" s="1263">
        <f>(SUM(D$54:D$60))/7</f>
        <v>102611.56485714286</v>
      </c>
      <c r="F28" s="115">
        <f t="shared" ref="F28:F34" si="8">$F$35/12</f>
        <v>1472.6666666666667</v>
      </c>
      <c r="G28" s="115">
        <f t="shared" ref="G28:G34" si="9">$G$35/12</f>
        <v>-301.64331700310498</v>
      </c>
      <c r="H28" s="8">
        <f t="shared" si="5"/>
        <v>103782.58820680642</v>
      </c>
      <c r="I28" s="115">
        <f t="shared" si="3"/>
        <v>-8118.6640286654147</v>
      </c>
      <c r="J28" s="142">
        <v>6.1999999999999998E-3</v>
      </c>
      <c r="K28" s="145">
        <f t="shared" si="6"/>
        <v>-8118.6640286654147</v>
      </c>
      <c r="L28" s="144">
        <f>(M27+K28)/2*J28</f>
        <v>-25.167858488862784</v>
      </c>
      <c r="M28" s="144">
        <f t="shared" si="2"/>
        <v>-8143.8318871542779</v>
      </c>
      <c r="N28" s="4">
        <f t="shared" si="1"/>
        <v>19</v>
      </c>
      <c r="O28" s="153"/>
    </row>
    <row r="29" spans="1:21" x14ac:dyDescent="0.25">
      <c r="A29" s="4">
        <f t="shared" si="0"/>
        <v>20</v>
      </c>
      <c r="B29" s="32" t="s">
        <v>1291</v>
      </c>
      <c r="C29" s="490" t="str">
        <f>C23</f>
        <v>2025</v>
      </c>
      <c r="D29" s="144">
        <f t="shared" si="7"/>
        <v>95663.924178141009</v>
      </c>
      <c r="E29" s="1263">
        <f t="shared" ref="E29:E34" si="10">(SUM(D$54:D$60))/7</f>
        <v>102611.56485714286</v>
      </c>
      <c r="F29" s="115">
        <f t="shared" si="8"/>
        <v>1472.6666666666667</v>
      </c>
      <c r="G29" s="115">
        <f t="shared" si="9"/>
        <v>-301.64331700310498</v>
      </c>
      <c r="H29" s="8">
        <f t="shared" si="5"/>
        <v>103782.58820680642</v>
      </c>
      <c r="I29" s="115">
        <f t="shared" si="3"/>
        <v>-8118.6640286654147</v>
      </c>
      <c r="J29" s="142">
        <v>6.4000000000000003E-3</v>
      </c>
      <c r="K29" s="145">
        <f t="shared" si="6"/>
        <v>-16262.495915819693</v>
      </c>
      <c r="L29" s="144">
        <f t="shared" si="4"/>
        <v>-78.100248969516713</v>
      </c>
      <c r="M29" s="144">
        <f t="shared" si="2"/>
        <v>-16340.596164789209</v>
      </c>
      <c r="N29" s="4">
        <f t="shared" si="1"/>
        <v>20</v>
      </c>
      <c r="O29" s="153"/>
    </row>
    <row r="30" spans="1:21" x14ac:dyDescent="0.25">
      <c r="A30" s="4">
        <f t="shared" si="0"/>
        <v>21</v>
      </c>
      <c r="B30" s="32" t="s">
        <v>1292</v>
      </c>
      <c r="C30" s="490" t="str">
        <f>C23</f>
        <v>2025</v>
      </c>
      <c r="D30" s="144">
        <f t="shared" si="7"/>
        <v>95663.924178141009</v>
      </c>
      <c r="E30" s="1263">
        <f t="shared" si="10"/>
        <v>102611.56485714286</v>
      </c>
      <c r="F30" s="115">
        <f t="shared" si="8"/>
        <v>1472.6666666666667</v>
      </c>
      <c r="G30" s="115">
        <f t="shared" si="9"/>
        <v>-301.64331700310498</v>
      </c>
      <c r="H30" s="8">
        <f t="shared" si="5"/>
        <v>103782.58820680642</v>
      </c>
      <c r="I30" s="115">
        <f t="shared" si="3"/>
        <v>-8118.6640286654147</v>
      </c>
      <c r="J30" s="142">
        <v>6.4000000000000003E-3</v>
      </c>
      <c r="K30" s="145">
        <f t="shared" si="6"/>
        <v>-24459.260193454626</v>
      </c>
      <c r="L30" s="144">
        <f t="shared" si="4"/>
        <v>-130.55954034638029</v>
      </c>
      <c r="M30" s="144">
        <f t="shared" si="2"/>
        <v>-24589.819733801007</v>
      </c>
      <c r="N30" s="4">
        <f t="shared" si="1"/>
        <v>21</v>
      </c>
      <c r="O30" s="153"/>
    </row>
    <row r="31" spans="1:21" x14ac:dyDescent="0.25">
      <c r="A31" s="4">
        <f t="shared" si="0"/>
        <v>22</v>
      </c>
      <c r="B31" s="32" t="s">
        <v>1293</v>
      </c>
      <c r="C31" s="490" t="str">
        <f>C23</f>
        <v>2025</v>
      </c>
      <c r="D31" s="144">
        <f t="shared" si="7"/>
        <v>95663.924178141009</v>
      </c>
      <c r="E31" s="1263">
        <f t="shared" si="10"/>
        <v>102611.56485714286</v>
      </c>
      <c r="F31" s="115">
        <f t="shared" si="8"/>
        <v>1472.6666666666667</v>
      </c>
      <c r="G31" s="115">
        <f t="shared" si="9"/>
        <v>-301.64331700310498</v>
      </c>
      <c r="H31" s="8">
        <f t="shared" si="5"/>
        <v>103782.58820680642</v>
      </c>
      <c r="I31" s="115">
        <f t="shared" si="3"/>
        <v>-8118.6640286654147</v>
      </c>
      <c r="J31" s="142">
        <v>6.1999999999999998E-3</v>
      </c>
      <c r="K31" s="145">
        <f t="shared" si="6"/>
        <v>-32708.483762466421</v>
      </c>
      <c r="L31" s="144">
        <f t="shared" si="4"/>
        <v>-177.62474083842903</v>
      </c>
      <c r="M31" s="144">
        <f t="shared" si="2"/>
        <v>-32886.108503304851</v>
      </c>
      <c r="N31" s="4">
        <f t="shared" si="1"/>
        <v>22</v>
      </c>
      <c r="O31" s="153"/>
    </row>
    <row r="32" spans="1:21" x14ac:dyDescent="0.25">
      <c r="A32" s="4">
        <f t="shared" si="0"/>
        <v>23</v>
      </c>
      <c r="B32" s="32" t="s">
        <v>1294</v>
      </c>
      <c r="C32" s="490" t="str">
        <f>C23</f>
        <v>2025</v>
      </c>
      <c r="D32" s="144">
        <f t="shared" si="7"/>
        <v>95663.924178141009</v>
      </c>
      <c r="E32" s="1263">
        <f t="shared" si="10"/>
        <v>102611.56485714286</v>
      </c>
      <c r="F32" s="115">
        <f t="shared" si="8"/>
        <v>1472.6666666666667</v>
      </c>
      <c r="G32" s="115">
        <f t="shared" si="9"/>
        <v>-301.64331700310498</v>
      </c>
      <c r="H32" s="8">
        <f t="shared" si="5"/>
        <v>103782.58820680642</v>
      </c>
      <c r="I32" s="115">
        <f t="shared" si="3"/>
        <v>-8118.6640286654147</v>
      </c>
      <c r="J32" s="142">
        <v>6.4000000000000003E-3</v>
      </c>
      <c r="K32" s="145">
        <f t="shared" si="6"/>
        <v>-41004.772531970266</v>
      </c>
      <c r="L32" s="144">
        <f t="shared" si="4"/>
        <v>-236.45081931288038</v>
      </c>
      <c r="M32" s="144">
        <f t="shared" si="2"/>
        <v>-41241.223351283144</v>
      </c>
      <c r="N32" s="4">
        <f t="shared" si="1"/>
        <v>23</v>
      </c>
      <c r="O32" s="153"/>
    </row>
    <row r="33" spans="1:16" x14ac:dyDescent="0.25">
      <c r="A33" s="4">
        <f t="shared" si="0"/>
        <v>24</v>
      </c>
      <c r="B33" s="32" t="s">
        <v>1295</v>
      </c>
      <c r="C33" s="490" t="str">
        <f>C23</f>
        <v>2025</v>
      </c>
      <c r="D33" s="144">
        <f t="shared" si="7"/>
        <v>95663.924178141009</v>
      </c>
      <c r="E33" s="1263">
        <f t="shared" si="10"/>
        <v>102611.56485714286</v>
      </c>
      <c r="F33" s="115">
        <f t="shared" si="8"/>
        <v>1472.6666666666667</v>
      </c>
      <c r="G33" s="115">
        <f t="shared" si="9"/>
        <v>-301.64331700310498</v>
      </c>
      <c r="H33" s="8">
        <f t="shared" si="5"/>
        <v>103782.58820680642</v>
      </c>
      <c r="I33" s="115">
        <f t="shared" si="3"/>
        <v>-8118.6640286654147</v>
      </c>
      <c r="J33" s="142">
        <v>6.1999999999999998E-3</v>
      </c>
      <c r="K33" s="145">
        <f t="shared" si="6"/>
        <v>-49359.887379948559</v>
      </c>
      <c r="L33" s="8">
        <f t="shared" si="4"/>
        <v>-280.86344326681825</v>
      </c>
      <c r="M33" s="8">
        <f t="shared" si="2"/>
        <v>-49640.750823215378</v>
      </c>
      <c r="N33" s="4">
        <f t="shared" si="1"/>
        <v>24</v>
      </c>
      <c r="O33" s="153"/>
    </row>
    <row r="34" spans="1:16" x14ac:dyDescent="0.25">
      <c r="A34" s="4">
        <f t="shared" si="0"/>
        <v>25</v>
      </c>
      <c r="B34" s="1056" t="s">
        <v>1296</v>
      </c>
      <c r="C34" s="1057" t="str">
        <f>C23</f>
        <v>2025</v>
      </c>
      <c r="D34" s="1058">
        <f t="shared" si="7"/>
        <v>95663.924178141009</v>
      </c>
      <c r="E34" s="1263">
        <f t="shared" si="10"/>
        <v>102611.56485714286</v>
      </c>
      <c r="F34" s="1059">
        <f t="shared" si="8"/>
        <v>1472.6666666666667</v>
      </c>
      <c r="G34" s="1059">
        <f t="shared" si="9"/>
        <v>-301.64331700310498</v>
      </c>
      <c r="H34" s="911">
        <f>SUM(E34:G34)</f>
        <v>103782.58820680642</v>
      </c>
      <c r="I34" s="1059">
        <f t="shared" si="3"/>
        <v>-8118.6640286654147</v>
      </c>
      <c r="J34" s="1031">
        <v>6.4000000000000003E-3</v>
      </c>
      <c r="K34" s="1060">
        <f t="shared" si="6"/>
        <v>-57759.414851880792</v>
      </c>
      <c r="L34" s="911">
        <f t="shared" si="4"/>
        <v>-343.68053016030774</v>
      </c>
      <c r="M34" s="911">
        <f t="shared" si="2"/>
        <v>-58103.095382041101</v>
      </c>
      <c r="N34" s="4">
        <f t="shared" si="1"/>
        <v>25</v>
      </c>
      <c r="O34" s="153"/>
    </row>
    <row r="35" spans="1:16" ht="16.5" thickBot="1" x14ac:dyDescent="0.3">
      <c r="A35" s="4">
        <f t="shared" si="0"/>
        <v>26</v>
      </c>
      <c r="D35" s="146">
        <f>SUM(D23:D34)</f>
        <v>669647.46924698714</v>
      </c>
      <c r="E35" s="146">
        <f>SUM(E23:E34)</f>
        <v>718280.95400000003</v>
      </c>
      <c r="F35" s="147">
        <f>7626+10046</f>
        <v>17672</v>
      </c>
      <c r="G35" s="147">
        <v>-3619.71980403726</v>
      </c>
      <c r="H35" s="146">
        <f>SUM(H23:H34)</f>
        <v>726478.11744764505</v>
      </c>
      <c r="I35" s="146">
        <f>SUM(I23:I34)</f>
        <v>-56830.648200657903</v>
      </c>
      <c r="J35" s="148"/>
      <c r="K35" s="149"/>
      <c r="L35" s="95">
        <f>SUM(L23:L34)</f>
        <v>-1272.4471813831951</v>
      </c>
      <c r="M35" s="682"/>
      <c r="N35" s="4">
        <f t="shared" si="1"/>
        <v>26</v>
      </c>
      <c r="P35"/>
    </row>
    <row r="36" spans="1:16" ht="16.5" thickTop="1" x14ac:dyDescent="0.25">
      <c r="D36" s="161"/>
      <c r="E36" s="161"/>
      <c r="F36" s="888"/>
      <c r="G36" s="161"/>
      <c r="H36" s="888"/>
      <c r="I36" s="888"/>
      <c r="J36" s="161"/>
      <c r="K36" s="161"/>
      <c r="L36" s="683"/>
      <c r="M36" s="683"/>
      <c r="P36"/>
    </row>
    <row r="37" spans="1:16" x14ac:dyDescent="0.25">
      <c r="B37" s="36"/>
      <c r="F37" s="492"/>
      <c r="G37" s="492"/>
      <c r="P37"/>
    </row>
    <row r="38" spans="1:16" ht="18.75" x14ac:dyDescent="0.25">
      <c r="A38" s="252">
        <v>1</v>
      </c>
      <c r="B38" s="5" t="s">
        <v>1297</v>
      </c>
      <c r="F38" s="492"/>
      <c r="G38" s="492"/>
      <c r="M38" s="115"/>
    </row>
    <row r="39" spans="1:16" ht="18.75" x14ac:dyDescent="0.25">
      <c r="A39" s="252">
        <v>2</v>
      </c>
      <c r="B39" s="31" t="s">
        <v>2024</v>
      </c>
    </row>
    <row r="40" spans="1:16" ht="18.75" x14ac:dyDescent="0.25">
      <c r="A40" s="252">
        <v>3</v>
      </c>
      <c r="B40" s="5" t="s">
        <v>1298</v>
      </c>
    </row>
    <row r="41" spans="1:16" ht="18.75" x14ac:dyDescent="0.25">
      <c r="A41" s="252">
        <v>4</v>
      </c>
      <c r="B41" s="5" t="s">
        <v>2061</v>
      </c>
    </row>
    <row r="42" spans="1:16" ht="18.75" x14ac:dyDescent="0.25">
      <c r="A42" s="252"/>
      <c r="B42" s="5" t="s">
        <v>2098</v>
      </c>
    </row>
    <row r="43" spans="1:16" ht="18.75" x14ac:dyDescent="0.25">
      <c r="A43" s="252">
        <v>5</v>
      </c>
      <c r="B43" s="5" t="s">
        <v>1299</v>
      </c>
      <c r="C43" s="438"/>
    </row>
    <row r="44" spans="1:16" ht="18.75" x14ac:dyDescent="0.25">
      <c r="A44" s="252">
        <v>6</v>
      </c>
      <c r="B44" s="5" t="s">
        <v>1300</v>
      </c>
    </row>
    <row r="45" spans="1:16" ht="18.75" x14ac:dyDescent="0.25">
      <c r="A45" s="252">
        <v>7</v>
      </c>
      <c r="B45" s="5" t="s">
        <v>1301</v>
      </c>
    </row>
    <row r="46" spans="1:16" customFormat="1" ht="15" x14ac:dyDescent="0.25"/>
    <row r="47" spans="1:16" customFormat="1" ht="18.75" x14ac:dyDescent="0.25">
      <c r="A47" s="252">
        <v>8</v>
      </c>
      <c r="B47" s="33" t="s">
        <v>1800</v>
      </c>
      <c r="C47" s="749"/>
      <c r="D47" s="253" t="s">
        <v>1799</v>
      </c>
      <c r="E47" s="253" t="s">
        <v>1801</v>
      </c>
    </row>
    <row r="48" spans="1:16" customFormat="1" ht="18.75" x14ac:dyDescent="0.25">
      <c r="A48" s="252"/>
      <c r="B48" s="33"/>
      <c r="C48" s="749"/>
      <c r="D48" s="1227"/>
      <c r="E48" s="1227"/>
    </row>
    <row r="49" spans="1:5" customFormat="1" x14ac:dyDescent="0.25">
      <c r="A49" s="749"/>
      <c r="B49" s="32" t="s">
        <v>1285</v>
      </c>
      <c r="C49" s="490">
        <v>2025</v>
      </c>
      <c r="D49" s="1214">
        <v>90352.839000000007</v>
      </c>
      <c r="E49" s="1263">
        <f>D61/12</f>
        <v>90347.080166666667</v>
      </c>
    </row>
    <row r="50" spans="1:5" customFormat="1" x14ac:dyDescent="0.25">
      <c r="A50" s="749"/>
      <c r="B50" s="32" t="s">
        <v>1286</v>
      </c>
      <c r="C50" s="490">
        <f>C49</f>
        <v>2025</v>
      </c>
      <c r="D50" s="1214">
        <v>69522.187000000005</v>
      </c>
      <c r="E50" s="1263">
        <f>$E$49</f>
        <v>90347.080166666667</v>
      </c>
    </row>
    <row r="51" spans="1:5" x14ac:dyDescent="0.25">
      <c r="A51" s="4"/>
      <c r="B51" s="32" t="s">
        <v>1287</v>
      </c>
      <c r="C51" s="490">
        <f>C49</f>
        <v>2025</v>
      </c>
      <c r="D51" s="1214">
        <v>72826.266000000003</v>
      </c>
      <c r="E51" s="1263">
        <f t="shared" ref="E51:E60" si="11">$E$49</f>
        <v>90347.080166666667</v>
      </c>
    </row>
    <row r="52" spans="1:5" x14ac:dyDescent="0.25">
      <c r="A52" s="4"/>
      <c r="B52" s="32" t="s">
        <v>1288</v>
      </c>
      <c r="C52" s="490">
        <f>C49</f>
        <v>2025</v>
      </c>
      <c r="D52" s="1214">
        <v>66511.13</v>
      </c>
      <c r="E52" s="1263">
        <f t="shared" si="11"/>
        <v>90347.080166666667</v>
      </c>
    </row>
    <row r="53" spans="1:5" x14ac:dyDescent="0.25">
      <c r="A53" s="4"/>
      <c r="B53" s="32" t="s">
        <v>1289</v>
      </c>
      <c r="C53" s="490">
        <f>C49</f>
        <v>2025</v>
      </c>
      <c r="D53" s="1214">
        <v>66671.585999999996</v>
      </c>
      <c r="E53" s="1263">
        <f t="shared" si="11"/>
        <v>90347.080166666667</v>
      </c>
    </row>
    <row r="54" spans="1:5" x14ac:dyDescent="0.25">
      <c r="A54" s="4"/>
      <c r="B54" s="32" t="s">
        <v>1290</v>
      </c>
      <c r="C54" s="490">
        <f>C49</f>
        <v>2025</v>
      </c>
      <c r="D54" s="1214">
        <v>79597.565000000002</v>
      </c>
      <c r="E54" s="1263">
        <f t="shared" si="11"/>
        <v>90347.080166666667</v>
      </c>
    </row>
    <row r="55" spans="1:5" x14ac:dyDescent="0.25">
      <c r="A55" s="4"/>
      <c r="B55" s="32" t="s">
        <v>1291</v>
      </c>
      <c r="C55" s="490">
        <f>C49</f>
        <v>2025</v>
      </c>
      <c r="D55" s="1214">
        <v>105093.27899999999</v>
      </c>
      <c r="E55" s="1263">
        <f t="shared" si="11"/>
        <v>90347.080166666667</v>
      </c>
    </row>
    <row r="56" spans="1:5" x14ac:dyDescent="0.25">
      <c r="A56" s="4"/>
      <c r="B56" s="32" t="s">
        <v>1292</v>
      </c>
      <c r="C56" s="490">
        <f>C49</f>
        <v>2025</v>
      </c>
      <c r="D56" s="1214">
        <v>107621.781</v>
      </c>
      <c r="E56" s="1263">
        <f t="shared" si="11"/>
        <v>90347.080166666667</v>
      </c>
    </row>
    <row r="57" spans="1:5" x14ac:dyDescent="0.25">
      <c r="A57" s="4"/>
      <c r="B57" s="32" t="s">
        <v>1293</v>
      </c>
      <c r="C57" s="490">
        <f>C49</f>
        <v>2025</v>
      </c>
      <c r="D57" s="1214">
        <v>121653.128</v>
      </c>
      <c r="E57" s="1263">
        <f t="shared" si="11"/>
        <v>90347.080166666667</v>
      </c>
    </row>
    <row r="58" spans="1:5" x14ac:dyDescent="0.25">
      <c r="A58" s="4"/>
      <c r="B58" s="32" t="s">
        <v>1294</v>
      </c>
      <c r="C58" s="490">
        <f>C49</f>
        <v>2025</v>
      </c>
      <c r="D58" s="1214">
        <v>118247.338</v>
      </c>
      <c r="E58" s="1263">
        <f t="shared" si="11"/>
        <v>90347.080166666667</v>
      </c>
    </row>
    <row r="59" spans="1:5" x14ac:dyDescent="0.25">
      <c r="A59" s="4"/>
      <c r="B59" s="32" t="s">
        <v>1295</v>
      </c>
      <c r="C59" s="490">
        <f>C49</f>
        <v>2025</v>
      </c>
      <c r="D59" s="1214">
        <v>84773.792000000001</v>
      </c>
      <c r="E59" s="1263">
        <f t="shared" si="11"/>
        <v>90347.080166666667</v>
      </c>
    </row>
    <row r="60" spans="1:5" x14ac:dyDescent="0.25">
      <c r="A60" s="4"/>
      <c r="B60" s="32" t="s">
        <v>1296</v>
      </c>
      <c r="C60" s="490">
        <f>C49</f>
        <v>2025</v>
      </c>
      <c r="D60" s="1214">
        <v>101294.071</v>
      </c>
      <c r="E60" s="1263">
        <f t="shared" si="11"/>
        <v>90347.080166666667</v>
      </c>
    </row>
    <row r="61" spans="1:5" ht="16.5" thickBot="1" x14ac:dyDescent="0.3">
      <c r="A61" s="4"/>
      <c r="B61" s="4" t="s">
        <v>180</v>
      </c>
      <c r="C61" s="31"/>
      <c r="D61" s="95">
        <f>SUM(D49:D60)</f>
        <v>1084164.9620000001</v>
      </c>
      <c r="E61" s="95">
        <f>SUM(E49:E60)</f>
        <v>1084164.9620000001</v>
      </c>
    </row>
    <row r="62" spans="1:5" ht="16.5" thickTop="1" x14ac:dyDescent="0.25">
      <c r="A62" s="4"/>
      <c r="B62" s="31"/>
      <c r="C62" s="31"/>
      <c r="D62" s="31"/>
      <c r="E62" s="31"/>
    </row>
    <row r="64" spans="1:5" x14ac:dyDescent="0.25">
      <c r="E64"/>
    </row>
  </sheetData>
  <mergeCells count="4">
    <mergeCell ref="B2:M2"/>
    <mergeCell ref="B3:M3"/>
    <mergeCell ref="B4:M4"/>
    <mergeCell ref="B5:M5"/>
  </mergeCells>
  <printOptions horizontalCentered="1"/>
  <pageMargins left="0.5" right="0.5" top="0.5" bottom="0.5" header="0.25" footer="0.25"/>
  <pageSetup scale="49" orientation="landscape" r:id="rId1"/>
  <headerFooter scaleWithDoc="0">
    <oddFooter>&amp;C&amp;"Times New Roman,Regular"&amp;10&amp;A</oddFooter>
  </headerFooter>
  <rowBreaks count="1" manualBreakCount="1">
    <brk id="53" max="14" man="1"/>
  </rowBreaks>
  <customProperties>
    <customPr name="_pios_id" r:id="rId2"/>
  </customPropertie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P208"/>
  <sheetViews>
    <sheetView view="pageBreakPreview" topLeftCell="A2" zoomScale="60" zoomScaleNormal="80" workbookViewId="0">
      <selection activeCell="E27" sqref="E27"/>
    </sheetView>
  </sheetViews>
  <sheetFormatPr defaultColWidth="9.28515625" defaultRowHeight="15.75" x14ac:dyDescent="0.25"/>
  <cols>
    <col min="1" max="1" width="5.28515625" style="4" customWidth="1"/>
    <col min="2" max="2" width="80.7109375" style="31" customWidth="1"/>
    <col min="3" max="3" width="10.42578125" style="31" customWidth="1"/>
    <col min="4" max="4" width="1.5703125" style="31" customWidth="1"/>
    <col min="5" max="5" width="16.7109375" style="31" customWidth="1"/>
    <col min="6" max="6" width="1.5703125" style="31" customWidth="1"/>
    <col min="7" max="7" width="51.42578125" style="31" customWidth="1"/>
    <col min="8" max="9" width="5.28515625" style="4" customWidth="1"/>
    <col min="10" max="10" width="11" style="31" customWidth="1"/>
    <col min="11" max="11" width="9.140625" style="31"/>
    <col min="12" max="12" width="22.140625" style="31" bestFit="1" customWidth="1"/>
    <col min="13" max="13" width="2" style="31" customWidth="1"/>
    <col min="14" max="14" width="19.140625" style="31" customWidth="1"/>
    <col min="15" max="15" width="10.5703125" style="31" bestFit="1" customWidth="1"/>
    <col min="16" max="16384" width="9.28515625" style="31"/>
  </cols>
  <sheetData>
    <row r="2" spans="1:15" x14ac:dyDescent="0.25">
      <c r="B2" s="1316" t="s">
        <v>0</v>
      </c>
      <c r="C2" s="1313"/>
      <c r="D2" s="1313"/>
      <c r="E2" s="1313"/>
      <c r="F2" s="1313"/>
      <c r="G2" s="1313"/>
    </row>
    <row r="3" spans="1:15" x14ac:dyDescent="0.25">
      <c r="A3" s="4" t="s">
        <v>1</v>
      </c>
      <c r="B3" s="1316" t="s">
        <v>2</v>
      </c>
      <c r="C3" s="1313"/>
      <c r="D3" s="1313"/>
      <c r="E3" s="1313"/>
      <c r="F3" s="1313"/>
      <c r="G3" s="1313"/>
    </row>
    <row r="4" spans="1:15" ht="17.25" x14ac:dyDescent="0.25">
      <c r="B4" s="1316" t="s">
        <v>3</v>
      </c>
      <c r="C4" s="1317"/>
      <c r="D4" s="1317"/>
      <c r="E4" s="1317"/>
      <c r="F4" s="1317"/>
      <c r="G4" s="1317"/>
    </row>
    <row r="5" spans="1:15" x14ac:dyDescent="0.25">
      <c r="B5" s="1314" t="s">
        <v>2099</v>
      </c>
      <c r="C5" s="1314"/>
      <c r="D5" s="1314"/>
      <c r="E5" s="1314"/>
      <c r="F5" s="1314"/>
      <c r="G5" s="1314"/>
    </row>
    <row r="6" spans="1:15" x14ac:dyDescent="0.25">
      <c r="B6" s="1312" t="s">
        <v>4</v>
      </c>
      <c r="C6" s="1313"/>
      <c r="D6" s="1313"/>
      <c r="E6" s="1313"/>
      <c r="F6" s="1313"/>
      <c r="G6" s="1313"/>
    </row>
    <row r="7" spans="1:15" x14ac:dyDescent="0.25">
      <c r="B7" s="261"/>
      <c r="C7" s="1"/>
      <c r="D7" s="1"/>
      <c r="E7" s="1"/>
      <c r="F7" s="1"/>
      <c r="G7" s="1"/>
    </row>
    <row r="8" spans="1:15" x14ac:dyDescent="0.25">
      <c r="A8" s="4" t="s">
        <v>5</v>
      </c>
      <c r="E8" s="25"/>
      <c r="G8" s="4"/>
      <c r="H8" s="4" t="s">
        <v>5</v>
      </c>
      <c r="L8"/>
      <c r="M8"/>
      <c r="N8"/>
      <c r="O8"/>
    </row>
    <row r="9" spans="1:15" x14ac:dyDescent="0.25">
      <c r="A9" s="4" t="s">
        <v>6</v>
      </c>
      <c r="B9" s="1" t="s">
        <v>1</v>
      </c>
      <c r="E9" s="907" t="s">
        <v>1302</v>
      </c>
      <c r="G9" s="848" t="s">
        <v>8</v>
      </c>
      <c r="H9" s="4" t="s">
        <v>6</v>
      </c>
      <c r="L9"/>
      <c r="M9"/>
      <c r="N9"/>
      <c r="O9"/>
    </row>
    <row r="10" spans="1:15" x14ac:dyDescent="0.25">
      <c r="B10" s="247" t="s">
        <v>9</v>
      </c>
      <c r="C10" s="505"/>
      <c r="D10" s="505"/>
      <c r="E10" s="25"/>
      <c r="G10" s="4"/>
      <c r="L10"/>
      <c r="M10"/>
      <c r="N10"/>
      <c r="O10"/>
    </row>
    <row r="11" spans="1:15" x14ac:dyDescent="0.25">
      <c r="A11" s="4">
        <f t="shared" ref="A11:A92" si="0">A10+1</f>
        <v>1</v>
      </c>
      <c r="B11" s="32" t="s">
        <v>10</v>
      </c>
      <c r="C11" s="257"/>
      <c r="D11" s="257"/>
      <c r="E11" s="7">
        <f>'True-Up Stmt AH'!E19</f>
        <v>112286.79694999997</v>
      </c>
      <c r="G11" s="4" t="s">
        <v>1749</v>
      </c>
      <c r="H11" s="4">
        <f>H10+1</f>
        <v>1</v>
      </c>
      <c r="J11" s="4"/>
      <c r="L11"/>
      <c r="M11"/>
      <c r="N11"/>
      <c r="O11"/>
    </row>
    <row r="12" spans="1:15" x14ac:dyDescent="0.25">
      <c r="A12" s="4">
        <f t="shared" si="0"/>
        <v>2</v>
      </c>
      <c r="B12" s="32" t="s">
        <v>1</v>
      </c>
      <c r="C12" s="257"/>
      <c r="D12" s="257"/>
      <c r="E12" s="8" t="s">
        <v>1</v>
      </c>
      <c r="G12" s="4"/>
      <c r="H12" s="4">
        <f>H11+1</f>
        <v>2</v>
      </c>
      <c r="J12" s="4"/>
      <c r="L12"/>
      <c r="M12"/>
      <c r="N12"/>
      <c r="O12"/>
    </row>
    <row r="13" spans="1:15" x14ac:dyDescent="0.25">
      <c r="A13" s="4">
        <f t="shared" si="0"/>
        <v>3</v>
      </c>
      <c r="B13" s="32" t="s">
        <v>11</v>
      </c>
      <c r="C13" s="257"/>
      <c r="D13" s="257"/>
      <c r="E13" s="9">
        <f>'True-Up Stmt AH'!E41</f>
        <v>106017.50664673123</v>
      </c>
      <c r="F13" s="1"/>
      <c r="G13" s="4" t="s">
        <v>1750</v>
      </c>
      <c r="H13" s="4">
        <f>H12+1</f>
        <v>3</v>
      </c>
      <c r="J13" s="4"/>
      <c r="L13"/>
      <c r="M13"/>
      <c r="N13"/>
      <c r="O13"/>
    </row>
    <row r="14" spans="1:15" x14ac:dyDescent="0.25">
      <c r="A14" s="4">
        <f t="shared" si="0"/>
        <v>4</v>
      </c>
      <c r="B14" s="32"/>
      <c r="C14" s="257"/>
      <c r="D14" s="257"/>
      <c r="E14" s="8"/>
      <c r="F14" s="1"/>
      <c r="G14" s="4"/>
      <c r="H14" s="4">
        <f t="shared" ref="H14:H68" si="1">H13+1</f>
        <v>4</v>
      </c>
      <c r="J14" s="4"/>
      <c r="L14"/>
      <c r="M14"/>
      <c r="N14"/>
      <c r="O14"/>
    </row>
    <row r="15" spans="1:15" x14ac:dyDescent="0.25">
      <c r="A15" s="4">
        <f t="shared" si="0"/>
        <v>5</v>
      </c>
      <c r="B15" s="32" t="s">
        <v>12</v>
      </c>
      <c r="C15" s="257"/>
      <c r="D15" s="257"/>
      <c r="E15" s="1250">
        <f>-'True-Up Stmt AH'!E26</f>
        <v>0</v>
      </c>
      <c r="G15" s="4" t="s">
        <v>1765</v>
      </c>
      <c r="H15" s="4">
        <f t="shared" si="1"/>
        <v>5</v>
      </c>
      <c r="J15" s="414"/>
      <c r="K15" s="276"/>
      <c r="L15"/>
      <c r="M15"/>
      <c r="N15"/>
      <c r="O15"/>
    </row>
    <row r="16" spans="1:15" x14ac:dyDescent="0.25">
      <c r="A16" s="4">
        <f t="shared" si="0"/>
        <v>6</v>
      </c>
      <c r="B16" s="32" t="s">
        <v>13</v>
      </c>
      <c r="C16" s="257"/>
      <c r="D16" s="257"/>
      <c r="E16" s="1106">
        <f>E11+E13+E15</f>
        <v>218304.30359673122</v>
      </c>
      <c r="F16" s="1"/>
      <c r="G16" s="4" t="s">
        <v>14</v>
      </c>
      <c r="H16" s="4">
        <f t="shared" si="1"/>
        <v>6</v>
      </c>
      <c r="J16" s="4"/>
      <c r="L16"/>
      <c r="M16"/>
      <c r="N16"/>
      <c r="O16"/>
    </row>
    <row r="17" spans="1:16" x14ac:dyDescent="0.25">
      <c r="A17" s="4">
        <f t="shared" si="0"/>
        <v>7</v>
      </c>
      <c r="E17" s="6"/>
      <c r="G17" s="4"/>
      <c r="H17" s="4">
        <f t="shared" si="1"/>
        <v>7</v>
      </c>
      <c r="J17" s="4"/>
      <c r="L17"/>
      <c r="M17"/>
      <c r="N17"/>
      <c r="O17"/>
    </row>
    <row r="18" spans="1:16" x14ac:dyDescent="0.25">
      <c r="A18" s="4">
        <f t="shared" si="0"/>
        <v>8</v>
      </c>
      <c r="B18" s="31" t="s">
        <v>15</v>
      </c>
      <c r="C18" s="257"/>
      <c r="D18" s="257"/>
      <c r="E18" s="1107">
        <f>'True-Up Stmt AJ'!E27</f>
        <v>306564.17757621472</v>
      </c>
      <c r="F18" s="41"/>
      <c r="G18" s="4" t="s">
        <v>1972</v>
      </c>
      <c r="H18" s="4">
        <f t="shared" si="1"/>
        <v>8</v>
      </c>
      <c r="J18" s="414"/>
      <c r="K18" s="276"/>
      <c r="L18"/>
      <c r="M18"/>
      <c r="N18"/>
      <c r="O18"/>
    </row>
    <row r="19" spans="1:16" x14ac:dyDescent="0.25">
      <c r="A19" s="4">
        <f t="shared" si="0"/>
        <v>9</v>
      </c>
      <c r="E19" s="11"/>
      <c r="G19" s="217"/>
      <c r="H19" s="4">
        <f t="shared" si="1"/>
        <v>9</v>
      </c>
      <c r="L19"/>
      <c r="M19"/>
      <c r="N19"/>
      <c r="O19"/>
    </row>
    <row r="20" spans="1:16" ht="18.75" x14ac:dyDescent="0.25">
      <c r="A20" s="4">
        <f t="shared" si="0"/>
        <v>10</v>
      </c>
      <c r="B20" s="837" t="s">
        <v>17</v>
      </c>
      <c r="E20" s="1202">
        <f>'True-Up Stmt AJ'!E33</f>
        <v>0</v>
      </c>
      <c r="G20" s="4" t="s">
        <v>1973</v>
      </c>
      <c r="H20" s="4">
        <f t="shared" si="1"/>
        <v>10</v>
      </c>
      <c r="J20" s="414"/>
      <c r="K20" s="276"/>
      <c r="L20"/>
      <c r="M20"/>
      <c r="N20"/>
      <c r="O20"/>
    </row>
    <row r="21" spans="1:16" x14ac:dyDescent="0.25">
      <c r="A21" s="4">
        <f t="shared" si="0"/>
        <v>11</v>
      </c>
      <c r="E21" s="11"/>
      <c r="G21" s="217"/>
      <c r="H21" s="4">
        <f t="shared" si="1"/>
        <v>11</v>
      </c>
      <c r="J21" s="4"/>
      <c r="L21"/>
      <c r="M21"/>
      <c r="N21"/>
      <c r="O21"/>
    </row>
    <row r="22" spans="1:16" x14ac:dyDescent="0.25">
      <c r="A22" s="4">
        <f t="shared" si="0"/>
        <v>12</v>
      </c>
      <c r="B22" s="31" t="s">
        <v>19</v>
      </c>
      <c r="C22" s="257"/>
      <c r="D22" s="257"/>
      <c r="E22" s="9">
        <f>'True-Up Stmt AK'!E15</f>
        <v>83073.519862764661</v>
      </c>
      <c r="G22" s="4" t="s">
        <v>1974</v>
      </c>
      <c r="H22" s="4">
        <f t="shared" si="1"/>
        <v>12</v>
      </c>
      <c r="J22" s="414"/>
      <c r="K22" s="276"/>
      <c r="L22"/>
      <c r="M22"/>
      <c r="N22"/>
      <c r="O22"/>
    </row>
    <row r="23" spans="1:16" x14ac:dyDescent="0.25">
      <c r="A23" s="4">
        <f t="shared" si="0"/>
        <v>13</v>
      </c>
      <c r="B23" s="32"/>
      <c r="C23" s="257"/>
      <c r="D23" s="257"/>
      <c r="E23" s="8"/>
      <c r="G23" s="217"/>
      <c r="H23" s="4">
        <f t="shared" si="1"/>
        <v>13</v>
      </c>
      <c r="J23" s="4"/>
      <c r="L23"/>
      <c r="M23"/>
      <c r="N23"/>
      <c r="O23"/>
    </row>
    <row r="24" spans="1:16" x14ac:dyDescent="0.25">
      <c r="A24" s="4">
        <f t="shared" si="0"/>
        <v>14</v>
      </c>
      <c r="B24" s="31" t="s">
        <v>20</v>
      </c>
      <c r="C24" s="257"/>
      <c r="D24" s="257"/>
      <c r="E24" s="841">
        <f>'True-Up Stmt AK'!E22</f>
        <v>3991.2824876913178</v>
      </c>
      <c r="G24" s="4" t="s">
        <v>1975</v>
      </c>
      <c r="H24" s="4">
        <f t="shared" si="1"/>
        <v>14</v>
      </c>
      <c r="J24" s="414"/>
      <c r="K24" s="276"/>
      <c r="L24"/>
      <c r="M24"/>
      <c r="N24"/>
      <c r="O24"/>
    </row>
    <row r="25" spans="1:16" x14ac:dyDescent="0.25">
      <c r="A25" s="4">
        <f t="shared" si="0"/>
        <v>15</v>
      </c>
      <c r="B25" s="32" t="s">
        <v>21</v>
      </c>
      <c r="C25" s="257"/>
      <c r="D25" s="257"/>
      <c r="E25" s="1106">
        <f>SUM(E16:E24)</f>
        <v>611933.28352340183</v>
      </c>
      <c r="F25" s="1"/>
      <c r="G25" s="838" t="s">
        <v>22</v>
      </c>
      <c r="H25" s="4">
        <f t="shared" si="1"/>
        <v>15</v>
      </c>
      <c r="J25" s="4"/>
      <c r="L25"/>
      <c r="M25"/>
      <c r="N25"/>
      <c r="O25"/>
    </row>
    <row r="26" spans="1:16" x14ac:dyDescent="0.25">
      <c r="A26" s="4">
        <f t="shared" si="0"/>
        <v>16</v>
      </c>
      <c r="B26" s="32"/>
      <c r="C26" s="257"/>
      <c r="D26" s="257"/>
      <c r="E26" s="13"/>
      <c r="G26" s="4"/>
      <c r="H26" s="4">
        <f t="shared" si="1"/>
        <v>16</v>
      </c>
      <c r="J26" s="4"/>
      <c r="L26"/>
      <c r="M26"/>
      <c r="N26"/>
      <c r="O26"/>
    </row>
    <row r="27" spans="1:16" ht="18.75" x14ac:dyDescent="0.25">
      <c r="A27" s="4">
        <f t="shared" si="0"/>
        <v>17</v>
      </c>
      <c r="B27" s="839" t="s">
        <v>1579</v>
      </c>
      <c r="C27" s="257"/>
      <c r="D27" s="8"/>
      <c r="E27" s="1139">
        <f>'True-Up Stmt AV'!G148</f>
        <v>9.3745262708195276E-2</v>
      </c>
      <c r="F27" s="1"/>
      <c r="G27" s="838" t="s">
        <v>1525</v>
      </c>
      <c r="H27" s="4">
        <f t="shared" si="1"/>
        <v>17</v>
      </c>
      <c r="J27" s="4"/>
      <c r="L27"/>
      <c r="M27"/>
      <c r="N27"/>
      <c r="O27"/>
    </row>
    <row r="28" spans="1:16" x14ac:dyDescent="0.25">
      <c r="A28" s="4">
        <f t="shared" si="0"/>
        <v>18</v>
      </c>
      <c r="B28" s="839" t="s">
        <v>23</v>
      </c>
      <c r="C28" s="257"/>
      <c r="D28" s="257"/>
      <c r="E28" s="843">
        <f>E136</f>
        <v>5726461.0020354921</v>
      </c>
      <c r="F28" s="1"/>
      <c r="G28" s="838" t="s">
        <v>1691</v>
      </c>
      <c r="H28" s="4">
        <f t="shared" si="1"/>
        <v>18</v>
      </c>
      <c r="J28" s="414"/>
      <c r="K28" s="276"/>
      <c r="L28"/>
      <c r="M28"/>
      <c r="N28"/>
      <c r="O28"/>
    </row>
    <row r="29" spans="1:16" x14ac:dyDescent="0.25">
      <c r="A29" s="4">
        <f t="shared" si="0"/>
        <v>19</v>
      </c>
      <c r="B29" s="837" t="s">
        <v>1580</v>
      </c>
      <c r="E29" s="908">
        <f>E27*E28</f>
        <v>536828.59102405235</v>
      </c>
      <c r="F29" s="1"/>
      <c r="G29" s="838" t="s">
        <v>24</v>
      </c>
      <c r="H29" s="4">
        <f t="shared" si="1"/>
        <v>19</v>
      </c>
      <c r="J29" s="4"/>
      <c r="K29" s="276"/>
      <c r="L29"/>
      <c r="M29"/>
      <c r="N29"/>
      <c r="O29"/>
      <c r="P29" s="276"/>
    </row>
    <row r="30" spans="1:16" x14ac:dyDescent="0.25">
      <c r="A30" s="4">
        <f t="shared" si="0"/>
        <v>20</v>
      </c>
      <c r="B30" s="837"/>
      <c r="E30" s="10"/>
      <c r="F30" s="1"/>
      <c r="G30" s="838"/>
      <c r="H30" s="4">
        <f t="shared" si="1"/>
        <v>20</v>
      </c>
      <c r="J30" s="4"/>
      <c r="L30"/>
      <c r="M30"/>
      <c r="N30"/>
      <c r="O30"/>
      <c r="P30" s="276"/>
    </row>
    <row r="31" spans="1:16" ht="18.75" x14ac:dyDescent="0.25">
      <c r="A31" s="4">
        <f t="shared" si="0"/>
        <v>21</v>
      </c>
      <c r="B31" s="839" t="s">
        <v>1581</v>
      </c>
      <c r="E31" s="1140">
        <f>'True-Up Stmt AV'!G182</f>
        <v>0</v>
      </c>
      <c r="F31" s="1"/>
      <c r="G31" s="838" t="s">
        <v>1582</v>
      </c>
      <c r="H31" s="4">
        <f t="shared" si="1"/>
        <v>21</v>
      </c>
      <c r="J31" s="4"/>
      <c r="L31"/>
      <c r="M31"/>
      <c r="N31"/>
      <c r="O31"/>
    </row>
    <row r="32" spans="1:16" x14ac:dyDescent="0.25">
      <c r="A32" s="4">
        <f t="shared" si="0"/>
        <v>22</v>
      </c>
      <c r="B32" s="839" t="s">
        <v>23</v>
      </c>
      <c r="E32" s="843">
        <f>E136-E119</f>
        <v>5726461.0020354921</v>
      </c>
      <c r="F32" s="1"/>
      <c r="G32" s="838" t="s">
        <v>1583</v>
      </c>
      <c r="H32" s="4">
        <f t="shared" si="1"/>
        <v>22</v>
      </c>
      <c r="J32" s="4"/>
      <c r="L32"/>
      <c r="M32"/>
      <c r="N32"/>
      <c r="O32"/>
    </row>
    <row r="33" spans="1:15" x14ac:dyDescent="0.25">
      <c r="A33" s="4">
        <f t="shared" si="0"/>
        <v>23</v>
      </c>
      <c r="B33" s="837" t="s">
        <v>1584</v>
      </c>
      <c r="E33" s="10">
        <f>E31*E32</f>
        <v>0</v>
      </c>
      <c r="F33" s="1"/>
      <c r="G33" s="838" t="s">
        <v>1585</v>
      </c>
      <c r="H33" s="4">
        <f t="shared" si="1"/>
        <v>23</v>
      </c>
      <c r="J33" s="4"/>
      <c r="K33" s="276"/>
      <c r="L33"/>
      <c r="M33"/>
      <c r="N33"/>
      <c r="O33"/>
    </row>
    <row r="34" spans="1:15" x14ac:dyDescent="0.25">
      <c r="A34" s="4">
        <f t="shared" si="0"/>
        <v>24</v>
      </c>
      <c r="B34" s="32"/>
      <c r="C34" s="257"/>
      <c r="D34" s="257"/>
      <c r="E34" s="13"/>
      <c r="G34" s="4"/>
      <c r="H34" s="4">
        <f t="shared" si="1"/>
        <v>24</v>
      </c>
      <c r="J34" s="4"/>
      <c r="L34"/>
      <c r="M34"/>
      <c r="N34"/>
      <c r="O34"/>
    </row>
    <row r="35" spans="1:15" x14ac:dyDescent="0.25">
      <c r="A35" s="4">
        <f t="shared" si="0"/>
        <v>25</v>
      </c>
      <c r="B35" s="837" t="s">
        <v>25</v>
      </c>
      <c r="E35" s="1116">
        <f>'Stmt AQ'!E13</f>
        <v>1304.0991895338727</v>
      </c>
      <c r="G35" s="838" t="s">
        <v>26</v>
      </c>
      <c r="H35" s="4">
        <f t="shared" si="1"/>
        <v>25</v>
      </c>
      <c r="I35" s="357"/>
      <c r="J35" s="4"/>
      <c r="L35"/>
      <c r="M35"/>
      <c r="N35"/>
      <c r="O35"/>
    </row>
    <row r="36" spans="1:15" x14ac:dyDescent="0.25">
      <c r="A36" s="4">
        <f t="shared" si="0"/>
        <v>26</v>
      </c>
      <c r="B36" s="837" t="s">
        <v>27</v>
      </c>
      <c r="E36" s="23">
        <f>'Stmt AU'!E23</f>
        <v>-11869.177</v>
      </c>
      <c r="G36" s="838" t="s">
        <v>28</v>
      </c>
      <c r="H36" s="4">
        <f t="shared" si="1"/>
        <v>26</v>
      </c>
      <c r="I36" s="357"/>
      <c r="J36" s="414"/>
      <c r="K36" s="276"/>
      <c r="L36"/>
      <c r="M36"/>
      <c r="N36"/>
      <c r="O36"/>
    </row>
    <row r="37" spans="1:15" x14ac:dyDescent="0.25">
      <c r="A37" s="4">
        <f t="shared" si="0"/>
        <v>27</v>
      </c>
      <c r="B37" s="837" t="s">
        <v>29</v>
      </c>
      <c r="E37" s="9">
        <f>'Stmt Misc.'!E10</f>
        <v>0</v>
      </c>
      <c r="F37" s="1"/>
      <c r="G37" s="838" t="s">
        <v>30</v>
      </c>
      <c r="H37" s="4">
        <f t="shared" si="1"/>
        <v>27</v>
      </c>
      <c r="I37" s="357"/>
      <c r="J37" s="4"/>
      <c r="L37"/>
      <c r="M37"/>
      <c r="N37"/>
      <c r="O37"/>
    </row>
    <row r="38" spans="1:15" x14ac:dyDescent="0.25">
      <c r="A38" s="4">
        <f t="shared" si="0"/>
        <v>28</v>
      </c>
      <c r="B38" s="840" t="s">
        <v>31</v>
      </c>
      <c r="E38" s="841">
        <f>'Stmt AU'!E25</f>
        <v>0</v>
      </c>
      <c r="G38" s="838" t="s">
        <v>32</v>
      </c>
      <c r="H38" s="4">
        <f t="shared" si="1"/>
        <v>28</v>
      </c>
      <c r="I38" s="357"/>
      <c r="J38" s="4"/>
      <c r="L38"/>
      <c r="M38"/>
      <c r="N38"/>
      <c r="O38"/>
    </row>
    <row r="39" spans="1:15" x14ac:dyDescent="0.25">
      <c r="A39" s="4">
        <f t="shared" si="0"/>
        <v>29</v>
      </c>
      <c r="E39" s="11">
        <v>0</v>
      </c>
      <c r="G39" s="4"/>
      <c r="H39" s="4">
        <f t="shared" si="1"/>
        <v>29</v>
      </c>
      <c r="I39" s="357"/>
      <c r="L39"/>
      <c r="M39"/>
      <c r="N39"/>
      <c r="O39"/>
    </row>
    <row r="40" spans="1:15" ht="16.5" thickBot="1" x14ac:dyDescent="0.3">
      <c r="A40" s="4">
        <f t="shared" si="0"/>
        <v>30</v>
      </c>
      <c r="B40" s="31" t="s">
        <v>1303</v>
      </c>
      <c r="C40" s="257"/>
      <c r="D40" s="257"/>
      <c r="E40" s="14">
        <f>E25+E29+E33+SUM(E35:E38)</f>
        <v>1138196.796736988</v>
      </c>
      <c r="F40" s="1"/>
      <c r="G40" s="4" t="s">
        <v>1605</v>
      </c>
      <c r="H40" s="4">
        <f t="shared" si="1"/>
        <v>30</v>
      </c>
      <c r="I40" s="357"/>
      <c r="J40" s="44"/>
      <c r="L40"/>
      <c r="M40"/>
      <c r="N40"/>
      <c r="O40"/>
    </row>
    <row r="41" spans="1:15" ht="16.5" thickTop="1" x14ac:dyDescent="0.25">
      <c r="C41" s="257"/>
      <c r="D41" s="257"/>
      <c r="E41" s="15"/>
      <c r="F41" s="1"/>
      <c r="G41" s="4"/>
      <c r="J41" s="886"/>
      <c r="L41"/>
      <c r="M41"/>
      <c r="N41"/>
      <c r="O41"/>
    </row>
    <row r="42" spans="1:15" x14ac:dyDescent="0.25">
      <c r="C42" s="257"/>
      <c r="D42" s="257"/>
      <c r="E42" s="15"/>
      <c r="F42" s="1"/>
      <c r="G42" s="4"/>
      <c r="J42" s="886"/>
      <c r="L42"/>
      <c r="M42"/>
      <c r="N42"/>
      <c r="O42"/>
    </row>
    <row r="43" spans="1:15" ht="18.75" x14ac:dyDescent="0.25">
      <c r="A43" s="252">
        <v>1</v>
      </c>
      <c r="B43" s="31" t="s">
        <v>33</v>
      </c>
      <c r="C43" s="257"/>
      <c r="D43" s="257"/>
      <c r="E43" s="15"/>
      <c r="F43" s="1"/>
      <c r="G43" s="4"/>
      <c r="J43" s="886"/>
      <c r="L43"/>
      <c r="M43"/>
      <c r="N43"/>
      <c r="O43"/>
    </row>
    <row r="44" spans="1:15" ht="18.75" x14ac:dyDescent="0.25">
      <c r="A44" s="252"/>
      <c r="C44" s="257"/>
      <c r="D44" s="257"/>
      <c r="E44" s="15"/>
      <c r="F44" s="1"/>
      <c r="G44" s="4"/>
      <c r="J44" s="886"/>
      <c r="L44"/>
      <c r="M44"/>
      <c r="N44"/>
      <c r="O44"/>
    </row>
    <row r="45" spans="1:15" x14ac:dyDescent="0.25">
      <c r="C45" s="257"/>
      <c r="D45" s="257"/>
      <c r="E45" s="15"/>
      <c r="F45" s="1"/>
      <c r="G45" s="4"/>
      <c r="J45" s="44"/>
      <c r="L45"/>
      <c r="M45"/>
      <c r="N45"/>
      <c r="O45"/>
    </row>
    <row r="46" spans="1:15" x14ac:dyDescent="0.25">
      <c r="B46" s="1351" t="s">
        <v>0</v>
      </c>
      <c r="C46" s="1352"/>
      <c r="D46" s="1352"/>
      <c r="E46" s="1352"/>
      <c r="F46" s="1352"/>
      <c r="G46" s="1352"/>
      <c r="J46" s="4"/>
      <c r="L46"/>
      <c r="M46"/>
      <c r="N46"/>
      <c r="O46"/>
    </row>
    <row r="47" spans="1:15" x14ac:dyDescent="0.25">
      <c r="B47" s="1351" t="s">
        <v>2</v>
      </c>
      <c r="C47" s="1352"/>
      <c r="D47" s="1352"/>
      <c r="E47" s="1352"/>
      <c r="F47" s="1352"/>
      <c r="G47" s="1352"/>
      <c r="J47" s="4"/>
      <c r="L47"/>
      <c r="M47"/>
      <c r="N47"/>
      <c r="O47"/>
    </row>
    <row r="48" spans="1:15" ht="17.25" x14ac:dyDescent="0.25">
      <c r="B48" s="1351" t="s">
        <v>3</v>
      </c>
      <c r="C48" s="1353"/>
      <c r="D48" s="1353"/>
      <c r="E48" s="1353"/>
      <c r="F48" s="1353"/>
      <c r="G48" s="1353"/>
      <c r="J48" s="4"/>
      <c r="L48"/>
      <c r="M48"/>
      <c r="N48"/>
      <c r="O48"/>
    </row>
    <row r="49" spans="1:15" x14ac:dyDescent="0.25">
      <c r="B49" s="1354" t="str">
        <f>B5</f>
        <v>For the Base Period &amp; True-Up Period Ending December 31, 2025</v>
      </c>
      <c r="C49" s="1355"/>
      <c r="D49" s="1355"/>
      <c r="E49" s="1355"/>
      <c r="F49" s="1355"/>
      <c r="G49" s="1355"/>
      <c r="J49" s="4"/>
      <c r="L49"/>
      <c r="M49"/>
      <c r="N49"/>
      <c r="O49"/>
    </row>
    <row r="50" spans="1:15" x14ac:dyDescent="0.25">
      <c r="B50" s="1356" t="s">
        <v>4</v>
      </c>
      <c r="C50" s="1352"/>
      <c r="D50" s="1352"/>
      <c r="E50" s="1352"/>
      <c r="F50" s="1352"/>
      <c r="G50" s="1352"/>
      <c r="J50" s="4"/>
      <c r="L50"/>
      <c r="M50"/>
      <c r="N50"/>
      <c r="O50"/>
    </row>
    <row r="51" spans="1:15" x14ac:dyDescent="0.25">
      <c r="C51" s="257"/>
      <c r="D51" s="257"/>
      <c r="E51" s="15"/>
      <c r="F51" s="1"/>
      <c r="G51" s="4"/>
      <c r="J51" s="4"/>
      <c r="L51"/>
      <c r="M51"/>
      <c r="N51"/>
      <c r="O51"/>
    </row>
    <row r="52" spans="1:15" x14ac:dyDescent="0.25">
      <c r="A52" s="838" t="s">
        <v>5</v>
      </c>
      <c r="C52" s="257"/>
      <c r="D52" s="257"/>
      <c r="E52" s="15"/>
      <c r="F52" s="1"/>
      <c r="G52" s="4"/>
      <c r="H52" s="838" t="s">
        <v>5</v>
      </c>
      <c r="I52" s="838"/>
      <c r="J52" s="4"/>
      <c r="L52"/>
      <c r="M52"/>
      <c r="N52"/>
      <c r="O52"/>
    </row>
    <row r="53" spans="1:15" x14ac:dyDescent="0.25">
      <c r="A53" s="838" t="s">
        <v>6</v>
      </c>
      <c r="C53" s="257"/>
      <c r="D53" s="257"/>
      <c r="E53" s="15"/>
      <c r="F53" s="1"/>
      <c r="G53" s="4"/>
      <c r="H53" s="838" t="s">
        <v>6</v>
      </c>
      <c r="I53" s="838"/>
      <c r="J53" s="4"/>
      <c r="L53"/>
      <c r="M53"/>
      <c r="N53"/>
      <c r="O53"/>
    </row>
    <row r="54" spans="1:15" ht="18.75" x14ac:dyDescent="0.25">
      <c r="B54" s="842" t="s">
        <v>34</v>
      </c>
      <c r="E54" s="4"/>
      <c r="G54" s="4"/>
      <c r="J54" s="4"/>
      <c r="L54"/>
      <c r="M54"/>
      <c r="N54"/>
      <c r="O54"/>
    </row>
    <row r="55" spans="1:15" x14ac:dyDescent="0.25">
      <c r="A55" s="4">
        <f t="shared" si="0"/>
        <v>1</v>
      </c>
      <c r="B55" s="32" t="s">
        <v>35</v>
      </c>
      <c r="C55" s="257"/>
      <c r="D55" s="257"/>
      <c r="E55" s="16">
        <f>'Stmt AJ'!E29</f>
        <v>0</v>
      </c>
      <c r="G55" s="4" t="s">
        <v>36</v>
      </c>
      <c r="H55" s="4">
        <f t="shared" si="1"/>
        <v>1</v>
      </c>
      <c r="J55" s="4"/>
      <c r="L55"/>
      <c r="M55"/>
      <c r="N55"/>
      <c r="O55"/>
    </row>
    <row r="56" spans="1:15" x14ac:dyDescent="0.25">
      <c r="A56" s="4">
        <f t="shared" si="0"/>
        <v>2</v>
      </c>
      <c r="B56" s="32"/>
      <c r="C56" s="257"/>
      <c r="D56" s="257"/>
      <c r="E56" s="15"/>
      <c r="G56" s="4"/>
      <c r="H56" s="4">
        <f t="shared" si="1"/>
        <v>2</v>
      </c>
      <c r="J56" s="4"/>
      <c r="L56"/>
      <c r="M56"/>
      <c r="N56"/>
      <c r="O56"/>
    </row>
    <row r="57" spans="1:15" ht="18.75" x14ac:dyDescent="0.25">
      <c r="A57" s="4">
        <f t="shared" si="0"/>
        <v>3</v>
      </c>
      <c r="B57" s="839" t="s">
        <v>1586</v>
      </c>
      <c r="C57" s="257"/>
      <c r="D57" s="257"/>
      <c r="E57" s="1139">
        <f>'True-Up Stmt AV'!G225</f>
        <v>1.9821485143531346E-2</v>
      </c>
      <c r="F57" s="265"/>
      <c r="G57" s="838" t="s">
        <v>1587</v>
      </c>
      <c r="H57" s="4">
        <f t="shared" si="1"/>
        <v>3</v>
      </c>
      <c r="J57" s="4"/>
      <c r="L57"/>
      <c r="M57"/>
      <c r="N57"/>
      <c r="O57"/>
    </row>
    <row r="58" spans="1:15" x14ac:dyDescent="0.25">
      <c r="A58" s="4">
        <f t="shared" si="0"/>
        <v>4</v>
      </c>
      <c r="B58" s="837" t="s">
        <v>1588</v>
      </c>
      <c r="C58" s="257"/>
      <c r="D58" s="257"/>
      <c r="E58" s="843">
        <f>E141</f>
        <v>0</v>
      </c>
      <c r="G58" s="838" t="s">
        <v>1589</v>
      </c>
      <c r="H58" s="4">
        <f t="shared" si="1"/>
        <v>4</v>
      </c>
      <c r="J58" s="4"/>
      <c r="L58"/>
      <c r="M58"/>
      <c r="N58"/>
      <c r="O58"/>
    </row>
    <row r="59" spans="1:15" x14ac:dyDescent="0.25">
      <c r="A59" s="4">
        <f t="shared" si="0"/>
        <v>5</v>
      </c>
      <c r="B59" s="837" t="s">
        <v>1590</v>
      </c>
      <c r="E59" s="910">
        <f>E58*E57</f>
        <v>0</v>
      </c>
      <c r="G59" s="838" t="s">
        <v>1591</v>
      </c>
      <c r="H59" s="4">
        <f t="shared" si="1"/>
        <v>5</v>
      </c>
      <c r="J59" s="4"/>
      <c r="L59"/>
      <c r="M59"/>
      <c r="N59"/>
      <c r="O59"/>
    </row>
    <row r="60" spans="1:15" x14ac:dyDescent="0.25">
      <c r="A60" s="4">
        <f t="shared" si="0"/>
        <v>6</v>
      </c>
      <c r="B60" s="837"/>
      <c r="E60" s="10"/>
      <c r="G60" s="838"/>
      <c r="H60" s="4">
        <f t="shared" si="1"/>
        <v>6</v>
      </c>
      <c r="J60" s="4"/>
      <c r="L60"/>
      <c r="M60"/>
      <c r="N60"/>
      <c r="O60"/>
    </row>
    <row r="61" spans="1:15" ht="18.75" x14ac:dyDescent="0.25">
      <c r="A61" s="4">
        <f t="shared" si="0"/>
        <v>7</v>
      </c>
      <c r="B61" s="839" t="s">
        <v>1581</v>
      </c>
      <c r="E61" s="1140">
        <f>'True-Up Stmt AV'!G259</f>
        <v>0</v>
      </c>
      <c r="G61" s="838" t="s">
        <v>1592</v>
      </c>
      <c r="H61" s="4">
        <f t="shared" si="1"/>
        <v>7</v>
      </c>
      <c r="J61" s="4"/>
      <c r="L61"/>
      <c r="M61"/>
      <c r="N61"/>
      <c r="O61"/>
    </row>
    <row r="62" spans="1:15" x14ac:dyDescent="0.25">
      <c r="A62" s="4">
        <f t="shared" si="0"/>
        <v>8</v>
      </c>
      <c r="B62" s="837" t="s">
        <v>1588</v>
      </c>
      <c r="E62" s="843">
        <f>E141</f>
        <v>0</v>
      </c>
      <c r="G62" s="838" t="s">
        <v>1589</v>
      </c>
      <c r="H62" s="4">
        <f t="shared" si="1"/>
        <v>8</v>
      </c>
      <c r="J62" s="4"/>
      <c r="L62"/>
      <c r="M62"/>
      <c r="N62"/>
      <c r="O62"/>
    </row>
    <row r="63" spans="1:15" x14ac:dyDescent="0.25">
      <c r="A63" s="4">
        <f t="shared" si="0"/>
        <v>9</v>
      </c>
      <c r="B63" s="837" t="s">
        <v>1584</v>
      </c>
      <c r="E63" s="910">
        <f>E61*E62</f>
        <v>0</v>
      </c>
      <c r="G63" s="838" t="s">
        <v>37</v>
      </c>
      <c r="H63" s="4">
        <f t="shared" si="1"/>
        <v>9</v>
      </c>
      <c r="J63" s="4"/>
      <c r="L63"/>
      <c r="M63"/>
      <c r="N63"/>
      <c r="O63"/>
    </row>
    <row r="64" spans="1:15" x14ac:dyDescent="0.25">
      <c r="A64" s="4">
        <f t="shared" si="0"/>
        <v>10</v>
      </c>
      <c r="E64" s="10"/>
      <c r="G64" s="838"/>
      <c r="H64" s="4">
        <f t="shared" si="1"/>
        <v>10</v>
      </c>
      <c r="J64" s="4"/>
      <c r="L64"/>
      <c r="M64"/>
      <c r="N64"/>
      <c r="O64"/>
    </row>
    <row r="65" spans="1:15" ht="16.5" thickBot="1" x14ac:dyDescent="0.3">
      <c r="A65" s="4">
        <f t="shared" si="0"/>
        <v>11</v>
      </c>
      <c r="B65" s="837" t="s">
        <v>38</v>
      </c>
      <c r="E65" s="24">
        <f>E55+E59+E63</f>
        <v>0</v>
      </c>
      <c r="G65" s="838" t="s">
        <v>1593</v>
      </c>
      <c r="H65" s="4">
        <f t="shared" si="1"/>
        <v>11</v>
      </c>
      <c r="J65" s="4"/>
      <c r="L65"/>
      <c r="M65"/>
      <c r="N65"/>
      <c r="O65"/>
    </row>
    <row r="66" spans="1:15" ht="16.5" thickTop="1" x14ac:dyDescent="0.25">
      <c r="A66" s="4">
        <f t="shared" si="0"/>
        <v>12</v>
      </c>
      <c r="E66" s="10"/>
      <c r="G66" s="4"/>
      <c r="H66" s="4">
        <f t="shared" si="1"/>
        <v>12</v>
      </c>
      <c r="I66" s="357"/>
      <c r="J66" s="4"/>
      <c r="L66"/>
      <c r="M66"/>
      <c r="N66"/>
      <c r="O66"/>
    </row>
    <row r="67" spans="1:15" ht="18.75" x14ac:dyDescent="0.25">
      <c r="A67" s="4">
        <f t="shared" si="0"/>
        <v>13</v>
      </c>
      <c r="B67" s="844" t="s">
        <v>39</v>
      </c>
      <c r="E67" s="10"/>
      <c r="G67" s="4"/>
      <c r="H67" s="4">
        <f t="shared" si="1"/>
        <v>13</v>
      </c>
      <c r="I67" s="357"/>
      <c r="J67" s="4"/>
      <c r="L67"/>
      <c r="M67"/>
      <c r="N67"/>
      <c r="O67"/>
    </row>
    <row r="68" spans="1:15" x14ac:dyDescent="0.25">
      <c r="A68" s="4">
        <f t="shared" si="0"/>
        <v>14</v>
      </c>
      <c r="B68" s="32" t="s">
        <v>40</v>
      </c>
      <c r="E68" s="7">
        <f>'Stmt AJ'!E31</f>
        <v>0</v>
      </c>
      <c r="G68" s="4" t="s">
        <v>41</v>
      </c>
      <c r="H68" s="4">
        <f t="shared" si="1"/>
        <v>14</v>
      </c>
      <c r="I68" s="357"/>
      <c r="J68" s="4"/>
      <c r="L68"/>
      <c r="M68"/>
      <c r="N68"/>
      <c r="O68"/>
    </row>
    <row r="69" spans="1:15" x14ac:dyDescent="0.25">
      <c r="A69" s="4">
        <f t="shared" si="0"/>
        <v>15</v>
      </c>
      <c r="B69" s="32"/>
      <c r="E69" s="18"/>
      <c r="G69" s="4"/>
      <c r="H69" s="4">
        <f>H68+1</f>
        <v>15</v>
      </c>
      <c r="I69" s="357"/>
      <c r="J69" s="4"/>
      <c r="L69"/>
      <c r="M69"/>
      <c r="N69"/>
      <c r="O69"/>
    </row>
    <row r="70" spans="1:15" x14ac:dyDescent="0.25">
      <c r="A70" s="4">
        <f t="shared" si="0"/>
        <v>16</v>
      </c>
      <c r="B70" s="839" t="s">
        <v>42</v>
      </c>
      <c r="E70" s="7">
        <f>E146</f>
        <v>0</v>
      </c>
      <c r="G70" s="838" t="s">
        <v>43</v>
      </c>
      <c r="H70" s="4">
        <f>H69+1</f>
        <v>16</v>
      </c>
      <c r="L70"/>
      <c r="M70"/>
      <c r="N70"/>
      <c r="O70"/>
    </row>
    <row r="71" spans="1:15" ht="18.75" x14ac:dyDescent="0.25">
      <c r="A71" s="4">
        <f t="shared" si="0"/>
        <v>17</v>
      </c>
      <c r="B71" s="839" t="s">
        <v>1579</v>
      </c>
      <c r="C71" s="257"/>
      <c r="D71" s="8"/>
      <c r="E71" s="867">
        <f>'True-Up Stmt AV'!G148</f>
        <v>9.3745262708195276E-2</v>
      </c>
      <c r="F71" s="1"/>
      <c r="G71" s="838" t="s">
        <v>1525</v>
      </c>
      <c r="H71" s="4">
        <f t="shared" ref="H71:H79" si="2">H70+1</f>
        <v>17</v>
      </c>
      <c r="L71"/>
      <c r="M71"/>
      <c r="N71"/>
      <c r="O71"/>
    </row>
    <row r="72" spans="1:15" x14ac:dyDescent="0.25">
      <c r="A72" s="4">
        <f t="shared" si="0"/>
        <v>18</v>
      </c>
      <c r="B72" s="837" t="s">
        <v>1594</v>
      </c>
      <c r="E72" s="910">
        <f>E70*E71</f>
        <v>0</v>
      </c>
      <c r="G72" s="838" t="s">
        <v>1595</v>
      </c>
      <c r="H72" s="4">
        <f t="shared" si="2"/>
        <v>18</v>
      </c>
      <c r="L72"/>
      <c r="M72"/>
      <c r="N72"/>
      <c r="O72"/>
    </row>
    <row r="73" spans="1:15" x14ac:dyDescent="0.25">
      <c r="A73" s="4">
        <f t="shared" si="0"/>
        <v>19</v>
      </c>
      <c r="B73" s="837"/>
      <c r="E73" s="10"/>
      <c r="G73" s="838"/>
      <c r="H73" s="4">
        <f t="shared" si="2"/>
        <v>19</v>
      </c>
      <c r="L73"/>
      <c r="M73"/>
      <c r="N73"/>
      <c r="O73"/>
    </row>
    <row r="74" spans="1:15" x14ac:dyDescent="0.25">
      <c r="A74" s="4">
        <f t="shared" si="0"/>
        <v>20</v>
      </c>
      <c r="B74" s="839" t="s">
        <v>42</v>
      </c>
      <c r="E74" s="7">
        <f>'TO5 True-Up BK-1'!E146</f>
        <v>0</v>
      </c>
      <c r="G74" s="838" t="s">
        <v>43</v>
      </c>
      <c r="H74" s="4">
        <f t="shared" si="2"/>
        <v>20</v>
      </c>
      <c r="L74"/>
      <c r="M74"/>
      <c r="N74"/>
      <c r="O74"/>
    </row>
    <row r="75" spans="1:15" ht="18.75" x14ac:dyDescent="0.25">
      <c r="A75" s="4">
        <f t="shared" si="0"/>
        <v>21</v>
      </c>
      <c r="B75" s="839" t="s">
        <v>1581</v>
      </c>
      <c r="E75" s="1141">
        <v>0</v>
      </c>
      <c r="G75" s="838" t="s">
        <v>44</v>
      </c>
      <c r="H75" s="4">
        <f t="shared" si="2"/>
        <v>21</v>
      </c>
      <c r="L75"/>
      <c r="M75"/>
      <c r="N75"/>
      <c r="O75"/>
    </row>
    <row r="76" spans="1:15" x14ac:dyDescent="0.25">
      <c r="A76" s="4">
        <f t="shared" si="0"/>
        <v>22</v>
      </c>
      <c r="B76" s="837" t="s">
        <v>1596</v>
      </c>
      <c r="E76" s="910">
        <f>E74*E75</f>
        <v>0</v>
      </c>
      <c r="G76" s="838" t="s">
        <v>1597</v>
      </c>
      <c r="H76" s="4">
        <f t="shared" si="2"/>
        <v>22</v>
      </c>
      <c r="L76"/>
      <c r="M76"/>
      <c r="N76"/>
      <c r="O76"/>
    </row>
    <row r="77" spans="1:15" x14ac:dyDescent="0.25">
      <c r="A77" s="4">
        <f t="shared" si="0"/>
        <v>23</v>
      </c>
      <c r="E77" s="10"/>
      <c r="G77" s="838"/>
      <c r="H77" s="4">
        <f t="shared" si="2"/>
        <v>23</v>
      </c>
      <c r="L77"/>
      <c r="M77"/>
      <c r="N77"/>
      <c r="O77"/>
    </row>
    <row r="78" spans="1:15" ht="16.5" thickBot="1" x14ac:dyDescent="0.3">
      <c r="A78" s="4">
        <f t="shared" si="0"/>
        <v>24</v>
      </c>
      <c r="B78" s="837" t="s">
        <v>45</v>
      </c>
      <c r="E78" s="24">
        <f>E68+E72+E76</f>
        <v>0</v>
      </c>
      <c r="G78" s="838" t="s">
        <v>1598</v>
      </c>
      <c r="H78" s="4">
        <f t="shared" si="2"/>
        <v>24</v>
      </c>
      <c r="L78"/>
      <c r="M78"/>
      <c r="N78"/>
      <c r="O78"/>
    </row>
    <row r="79" spans="1:15" ht="16.5" thickTop="1" x14ac:dyDescent="0.25">
      <c r="A79" s="4">
        <f t="shared" si="0"/>
        <v>25</v>
      </c>
      <c r="E79" s="10"/>
      <c r="G79" s="4"/>
      <c r="H79" s="4">
        <f t="shared" si="2"/>
        <v>25</v>
      </c>
      <c r="I79" s="357"/>
      <c r="J79" s="4"/>
      <c r="L79"/>
      <c r="M79"/>
      <c r="N79"/>
      <c r="O79"/>
    </row>
    <row r="80" spans="1:15" ht="18.75" x14ac:dyDescent="0.25">
      <c r="A80" s="4">
        <f t="shared" si="0"/>
        <v>26</v>
      </c>
      <c r="B80" s="844" t="s">
        <v>46</v>
      </c>
      <c r="C80" s="257"/>
      <c r="D80" s="257"/>
      <c r="E80" s="15"/>
      <c r="G80" s="4"/>
      <c r="H80" s="4">
        <f t="shared" ref="H80:H93" si="3">H79+1</f>
        <v>26</v>
      </c>
      <c r="I80" s="357"/>
      <c r="J80" s="4"/>
      <c r="L80"/>
      <c r="M80"/>
      <c r="N80"/>
      <c r="O80"/>
    </row>
    <row r="81" spans="1:15" x14ac:dyDescent="0.25">
      <c r="A81" s="4">
        <f t="shared" si="0"/>
        <v>27</v>
      </c>
      <c r="B81" s="837" t="s">
        <v>47</v>
      </c>
      <c r="C81" s="257"/>
      <c r="D81" s="257"/>
      <c r="E81" s="16">
        <f>E148</f>
        <v>0</v>
      </c>
      <c r="G81" s="838" t="s">
        <v>48</v>
      </c>
      <c r="H81" s="4">
        <f t="shared" si="3"/>
        <v>27</v>
      </c>
      <c r="I81" s="357"/>
      <c r="J81" s="4"/>
      <c r="L81"/>
      <c r="M81"/>
      <c r="N81"/>
      <c r="O81"/>
    </row>
    <row r="82" spans="1:15" ht="18.75" x14ac:dyDescent="0.25">
      <c r="A82" s="4">
        <f t="shared" si="0"/>
        <v>28</v>
      </c>
      <c r="B82" s="839" t="s">
        <v>1579</v>
      </c>
      <c r="C82" s="257"/>
      <c r="D82" s="257"/>
      <c r="E82" s="1142">
        <f>'True-Up Stmt AV'!G148</f>
        <v>9.3745262708195276E-2</v>
      </c>
      <c r="F82" s="1"/>
      <c r="G82" s="838" t="s">
        <v>1525</v>
      </c>
      <c r="H82" s="4">
        <f t="shared" si="3"/>
        <v>28</v>
      </c>
      <c r="I82" s="357"/>
      <c r="J82" s="4"/>
      <c r="L82"/>
      <c r="M82"/>
      <c r="N82"/>
      <c r="O82"/>
    </row>
    <row r="83" spans="1:15" x14ac:dyDescent="0.25">
      <c r="A83" s="4">
        <f t="shared" si="0"/>
        <v>29</v>
      </c>
      <c r="B83" s="837" t="s">
        <v>1599</v>
      </c>
      <c r="C83" s="257"/>
      <c r="D83" s="257"/>
      <c r="E83" s="910">
        <f>E81*E82</f>
        <v>0</v>
      </c>
      <c r="G83" s="838" t="s">
        <v>1600</v>
      </c>
      <c r="H83" s="4">
        <f t="shared" si="3"/>
        <v>29</v>
      </c>
      <c r="I83" s="357"/>
      <c r="J83" s="4"/>
      <c r="L83"/>
      <c r="M83"/>
      <c r="N83"/>
      <c r="O83"/>
    </row>
    <row r="84" spans="1:15" x14ac:dyDescent="0.25">
      <c r="A84" s="4">
        <f t="shared" si="0"/>
        <v>30</v>
      </c>
      <c r="B84" s="837"/>
      <c r="C84" s="257"/>
      <c r="D84" s="257"/>
      <c r="E84" s="10"/>
      <c r="G84" s="838"/>
      <c r="H84" s="4">
        <f t="shared" si="3"/>
        <v>30</v>
      </c>
      <c r="I84" s="357"/>
      <c r="J84" s="4"/>
      <c r="L84"/>
      <c r="M84"/>
      <c r="N84"/>
      <c r="O84"/>
    </row>
    <row r="85" spans="1:15" x14ac:dyDescent="0.25">
      <c r="A85" s="4">
        <f t="shared" si="0"/>
        <v>31</v>
      </c>
      <c r="B85" s="837" t="s">
        <v>47</v>
      </c>
      <c r="E85" s="7">
        <f>E148</f>
        <v>0</v>
      </c>
      <c r="G85" s="838" t="s">
        <v>48</v>
      </c>
      <c r="H85" s="4">
        <f t="shared" si="3"/>
        <v>31</v>
      </c>
      <c r="I85" s="357"/>
      <c r="J85" s="4"/>
      <c r="L85"/>
      <c r="M85"/>
      <c r="N85"/>
      <c r="O85"/>
    </row>
    <row r="86" spans="1:15" ht="18.75" x14ac:dyDescent="0.25">
      <c r="A86" s="4">
        <f t="shared" si="0"/>
        <v>32</v>
      </c>
      <c r="B86" s="839" t="s">
        <v>1581</v>
      </c>
      <c r="E86" s="1143">
        <f>'True-Up Stmt AV'!G182</f>
        <v>0</v>
      </c>
      <c r="G86" s="838" t="s">
        <v>1582</v>
      </c>
      <c r="H86" s="4">
        <f t="shared" si="3"/>
        <v>32</v>
      </c>
      <c r="I86" s="357"/>
      <c r="J86" s="4"/>
      <c r="L86"/>
      <c r="M86"/>
      <c r="N86"/>
      <c r="O86"/>
    </row>
    <row r="87" spans="1:15" x14ac:dyDescent="0.25">
      <c r="A87" s="4">
        <f t="shared" si="0"/>
        <v>33</v>
      </c>
      <c r="B87" s="837" t="s">
        <v>1601</v>
      </c>
      <c r="E87" s="910">
        <f>E85*E86</f>
        <v>0</v>
      </c>
      <c r="G87" s="838" t="s">
        <v>1602</v>
      </c>
      <c r="H87" s="4">
        <f t="shared" si="3"/>
        <v>33</v>
      </c>
      <c r="I87" s="357"/>
      <c r="J87" s="4"/>
      <c r="L87"/>
      <c r="M87"/>
      <c r="N87"/>
      <c r="O87"/>
    </row>
    <row r="88" spans="1:15" x14ac:dyDescent="0.25">
      <c r="A88" s="4">
        <f t="shared" si="0"/>
        <v>34</v>
      </c>
      <c r="B88" s="837"/>
      <c r="E88" s="10"/>
      <c r="G88" s="838"/>
      <c r="H88" s="4">
        <f t="shared" si="3"/>
        <v>34</v>
      </c>
      <c r="I88" s="357"/>
      <c r="J88" s="4"/>
      <c r="L88"/>
      <c r="M88"/>
      <c r="N88"/>
      <c r="O88"/>
    </row>
    <row r="89" spans="1:15" ht="16.5" thickBot="1" x14ac:dyDescent="0.3">
      <c r="A89" s="4">
        <f t="shared" si="0"/>
        <v>35</v>
      </c>
      <c r="B89" s="837" t="s">
        <v>49</v>
      </c>
      <c r="E89" s="24">
        <f>E83+E87</f>
        <v>0</v>
      </c>
      <c r="G89" s="838" t="s">
        <v>1603</v>
      </c>
      <c r="H89" s="4">
        <f t="shared" si="3"/>
        <v>35</v>
      </c>
      <c r="I89" s="357"/>
      <c r="J89" s="4"/>
      <c r="L89"/>
      <c r="M89"/>
      <c r="N89"/>
      <c r="O89"/>
    </row>
    <row r="90" spans="1:15" ht="16.5" thickTop="1" x14ac:dyDescent="0.25">
      <c r="A90" s="4">
        <f t="shared" si="0"/>
        <v>36</v>
      </c>
      <c r="B90" s="837"/>
      <c r="E90" s="10"/>
      <c r="G90" s="838"/>
      <c r="H90" s="4">
        <f t="shared" si="3"/>
        <v>36</v>
      </c>
      <c r="I90" s="357"/>
      <c r="J90" s="4"/>
      <c r="L90"/>
      <c r="M90"/>
      <c r="N90"/>
      <c r="O90"/>
    </row>
    <row r="91" spans="1:15" ht="19.5" thickBot="1" x14ac:dyDescent="0.3">
      <c r="A91" s="4">
        <f t="shared" si="0"/>
        <v>37</v>
      </c>
      <c r="B91" s="837" t="s">
        <v>50</v>
      </c>
      <c r="C91" s="257"/>
      <c r="D91" s="257"/>
      <c r="E91" s="14">
        <f>E67+E78+E89</f>
        <v>0</v>
      </c>
      <c r="G91" s="838" t="s">
        <v>1604</v>
      </c>
      <c r="H91" s="4">
        <f t="shared" si="3"/>
        <v>37</v>
      </c>
      <c r="I91" s="357"/>
      <c r="J91" s="4"/>
      <c r="L91"/>
      <c r="M91"/>
      <c r="N91"/>
      <c r="O91"/>
    </row>
    <row r="92" spans="1:15" ht="16.5" thickTop="1" x14ac:dyDescent="0.25">
      <c r="A92" s="4">
        <f t="shared" si="0"/>
        <v>38</v>
      </c>
      <c r="B92" s="837"/>
      <c r="C92" s="257"/>
      <c r="D92" s="257"/>
      <c r="E92" s="15"/>
      <c r="G92" s="838"/>
      <c r="H92" s="4">
        <f t="shared" si="3"/>
        <v>38</v>
      </c>
      <c r="I92" s="357"/>
      <c r="J92" s="4"/>
      <c r="L92"/>
      <c r="M92"/>
      <c r="N92"/>
      <c r="O92"/>
    </row>
    <row r="93" spans="1:15" ht="24.75" customHeight="1" thickBot="1" x14ac:dyDescent="0.3">
      <c r="A93" s="4">
        <f t="shared" ref="A93" si="4">A92+1</f>
        <v>39</v>
      </c>
      <c r="B93" s="33" t="s">
        <v>51</v>
      </c>
      <c r="C93" s="257"/>
      <c r="D93" s="257"/>
      <c r="E93" s="14">
        <f>E40+E91</f>
        <v>1138196.796736988</v>
      </c>
      <c r="F93" s="1"/>
      <c r="G93" s="838" t="s">
        <v>1614</v>
      </c>
      <c r="H93" s="4">
        <f t="shared" si="3"/>
        <v>39</v>
      </c>
      <c r="I93" s="357"/>
      <c r="J93" s="4"/>
      <c r="L93"/>
      <c r="M93"/>
      <c r="N93"/>
      <c r="O93"/>
    </row>
    <row r="94" spans="1:15" ht="16.5" thickTop="1" x14ac:dyDescent="0.25">
      <c r="B94" s="33"/>
      <c r="C94" s="257"/>
      <c r="D94" s="257"/>
      <c r="E94" s="15"/>
      <c r="F94" s="71"/>
      <c r="G94" s="4"/>
      <c r="L94"/>
      <c r="M94"/>
      <c r="N94"/>
      <c r="O94"/>
    </row>
    <row r="95" spans="1:15" x14ac:dyDescent="0.25">
      <c r="B95" s="33"/>
      <c r="C95" s="257"/>
      <c r="D95" s="257"/>
      <c r="E95" s="15"/>
      <c r="F95" s="71"/>
      <c r="G95" s="4"/>
      <c r="L95"/>
      <c r="M95"/>
      <c r="N95"/>
      <c r="O95"/>
    </row>
    <row r="96" spans="1:15" ht="18.75" x14ac:dyDescent="0.25">
      <c r="A96" s="845">
        <v>1</v>
      </c>
      <c r="B96" s="837" t="s">
        <v>33</v>
      </c>
      <c r="C96" s="257"/>
      <c r="D96" s="257"/>
      <c r="E96" s="19"/>
      <c r="F96" s="71"/>
      <c r="G96" s="4"/>
      <c r="L96"/>
      <c r="M96"/>
      <c r="N96"/>
      <c r="O96"/>
    </row>
    <row r="97" spans="1:15" ht="18.75" x14ac:dyDescent="0.25">
      <c r="A97" s="845">
        <v>2</v>
      </c>
      <c r="B97" s="837" t="s">
        <v>52</v>
      </c>
      <c r="C97" s="257"/>
      <c r="D97" s="257"/>
      <c r="E97" s="19"/>
      <c r="F97" s="71"/>
      <c r="G97" s="4"/>
      <c r="L97"/>
      <c r="M97"/>
      <c r="N97"/>
      <c r="O97"/>
    </row>
    <row r="98" spans="1:15" ht="18.75" x14ac:dyDescent="0.25">
      <c r="A98" s="845">
        <v>3</v>
      </c>
      <c r="B98" s="837" t="s">
        <v>53</v>
      </c>
      <c r="C98" s="257"/>
      <c r="D98" s="257"/>
      <c r="E98" s="19"/>
      <c r="F98" s="71"/>
      <c r="G98" s="4"/>
      <c r="L98"/>
      <c r="M98"/>
      <c r="N98"/>
      <c r="O98"/>
    </row>
    <row r="99" spans="1:15" x14ac:dyDescent="0.25">
      <c r="B99" s="1"/>
      <c r="C99" s="257"/>
      <c r="D99" s="257"/>
      <c r="E99" s="15"/>
      <c r="G99" s="4"/>
      <c r="L99"/>
      <c r="M99"/>
      <c r="N99"/>
      <c r="O99"/>
    </row>
    <row r="100" spans="1:15" x14ac:dyDescent="0.25">
      <c r="C100" s="257"/>
      <c r="D100" s="257"/>
      <c r="E100" s="15"/>
      <c r="G100" s="4"/>
      <c r="L100"/>
      <c r="M100"/>
      <c r="N100"/>
      <c r="O100"/>
    </row>
    <row r="101" spans="1:15" x14ac:dyDescent="0.25">
      <c r="B101" s="1316" t="s">
        <v>0</v>
      </c>
      <c r="C101" s="1313"/>
      <c r="D101" s="1313"/>
      <c r="E101" s="1313"/>
      <c r="F101" s="1313"/>
      <c r="G101" s="1313"/>
      <c r="L101"/>
      <c r="M101"/>
      <c r="N101"/>
      <c r="O101"/>
    </row>
    <row r="102" spans="1:15" x14ac:dyDescent="0.25">
      <c r="B102" s="1316" t="s">
        <v>2</v>
      </c>
      <c r="C102" s="1313"/>
      <c r="D102" s="1313"/>
      <c r="E102" s="1313"/>
      <c r="F102" s="1313"/>
      <c r="G102" s="1313"/>
      <c r="L102"/>
      <c r="M102"/>
      <c r="N102"/>
      <c r="O102"/>
    </row>
    <row r="103" spans="1:15" ht="17.25" x14ac:dyDescent="0.25">
      <c r="A103" s="4" t="s">
        <v>1</v>
      </c>
      <c r="B103" s="1316" t="s">
        <v>3</v>
      </c>
      <c r="C103" s="1317"/>
      <c r="D103" s="1317"/>
      <c r="E103" s="1317"/>
      <c r="F103" s="1317"/>
      <c r="G103" s="1317"/>
      <c r="H103" s="4" t="s">
        <v>1</v>
      </c>
      <c r="L103"/>
      <c r="M103"/>
      <c r="N103"/>
      <c r="O103"/>
    </row>
    <row r="104" spans="1:15" x14ac:dyDescent="0.25">
      <c r="B104" s="1318" t="str">
        <f>B5</f>
        <v>For the Base Period &amp; True-Up Period Ending December 31, 2025</v>
      </c>
      <c r="C104" s="1319"/>
      <c r="D104" s="1319"/>
      <c r="E104" s="1319"/>
      <c r="F104" s="1319"/>
      <c r="G104" s="1319"/>
      <c r="L104"/>
      <c r="M104"/>
      <c r="N104"/>
      <c r="O104"/>
    </row>
    <row r="105" spans="1:15" x14ac:dyDescent="0.25">
      <c r="B105" s="1312" t="s">
        <v>4</v>
      </c>
      <c r="C105" s="1313"/>
      <c r="D105" s="1313"/>
      <c r="E105" s="1313"/>
      <c r="F105" s="1313"/>
      <c r="G105" s="1313"/>
      <c r="L105"/>
      <c r="M105"/>
      <c r="N105"/>
      <c r="O105"/>
    </row>
    <row r="106" spans="1:15" x14ac:dyDescent="0.25">
      <c r="B106" s="261"/>
      <c r="C106" s="1"/>
      <c r="D106" s="1"/>
      <c r="E106" s="1"/>
      <c r="F106" s="1"/>
      <c r="G106" s="1"/>
      <c r="L106"/>
      <c r="M106"/>
      <c r="N106"/>
      <c r="O106"/>
    </row>
    <row r="107" spans="1:15" x14ac:dyDescent="0.25">
      <c r="A107" s="4" t="s">
        <v>5</v>
      </c>
      <c r="E107" s="25"/>
      <c r="G107" s="4"/>
      <c r="H107" s="4" t="s">
        <v>5</v>
      </c>
      <c r="L107"/>
      <c r="M107"/>
      <c r="N107"/>
      <c r="O107"/>
    </row>
    <row r="108" spans="1:15" x14ac:dyDescent="0.25">
      <c r="A108" s="4" t="s">
        <v>6</v>
      </c>
      <c r="B108" s="1" t="s">
        <v>1</v>
      </c>
      <c r="E108" s="907" t="s">
        <v>7</v>
      </c>
      <c r="G108" s="848" t="s">
        <v>8</v>
      </c>
      <c r="H108" s="4" t="s">
        <v>6</v>
      </c>
      <c r="L108"/>
      <c r="M108"/>
      <c r="N108"/>
      <c r="O108"/>
    </row>
    <row r="109" spans="1:15" x14ac:dyDescent="0.25">
      <c r="B109" s="247" t="s">
        <v>54</v>
      </c>
      <c r="C109" s="259"/>
      <c r="D109" s="259"/>
      <c r="E109" s="259"/>
      <c r="G109" s="4"/>
      <c r="L109"/>
      <c r="M109"/>
      <c r="N109"/>
      <c r="O109"/>
    </row>
    <row r="110" spans="1:15" x14ac:dyDescent="0.25">
      <c r="A110" s="4">
        <v>1</v>
      </c>
      <c r="B110" s="249" t="s">
        <v>55</v>
      </c>
      <c r="C110" s="259"/>
      <c r="D110" s="259"/>
      <c r="E110" s="259"/>
      <c r="G110" s="4"/>
      <c r="H110" s="4">
        <f>A110</f>
        <v>1</v>
      </c>
      <c r="L110"/>
      <c r="M110"/>
      <c r="N110"/>
      <c r="O110"/>
    </row>
    <row r="111" spans="1:15" x14ac:dyDescent="0.25">
      <c r="A111" s="4">
        <f t="shared" ref="A111:A148" si="5">A110+1</f>
        <v>2</v>
      </c>
      <c r="B111" s="32" t="s">
        <v>56</v>
      </c>
      <c r="C111" s="259"/>
      <c r="D111" s="259"/>
      <c r="E111" s="20">
        <f>E179</f>
        <v>6501749.9737683125</v>
      </c>
      <c r="F111" s="71"/>
      <c r="G111" s="4" t="s">
        <v>57</v>
      </c>
      <c r="H111" s="4">
        <f>H110+1</f>
        <v>2</v>
      </c>
      <c r="L111"/>
      <c r="M111"/>
      <c r="N111"/>
      <c r="O111"/>
    </row>
    <row r="112" spans="1:15" x14ac:dyDescent="0.25">
      <c r="A112" s="4">
        <f t="shared" si="5"/>
        <v>3</v>
      </c>
      <c r="B112" s="32" t="s">
        <v>58</v>
      </c>
      <c r="C112" s="259"/>
      <c r="D112" s="259"/>
      <c r="E112" s="21">
        <f>E180</f>
        <v>0</v>
      </c>
      <c r="F112" s="71"/>
      <c r="G112" s="4" t="s">
        <v>59</v>
      </c>
      <c r="H112" s="4">
        <f>H111+1</f>
        <v>3</v>
      </c>
      <c r="L112"/>
      <c r="M112"/>
      <c r="N112"/>
      <c r="O112"/>
    </row>
    <row r="113" spans="1:15" x14ac:dyDescent="0.25">
      <c r="A113" s="4">
        <f t="shared" si="5"/>
        <v>4</v>
      </c>
      <c r="B113" s="32" t="s">
        <v>60</v>
      </c>
      <c r="C113" s="259"/>
      <c r="D113" s="259"/>
      <c r="E113" s="21">
        <f>E181</f>
        <v>28073.4571228696</v>
      </c>
      <c r="G113" s="4" t="s">
        <v>61</v>
      </c>
      <c r="H113" s="4">
        <f>H112+1</f>
        <v>4</v>
      </c>
      <c r="L113"/>
      <c r="M113"/>
      <c r="N113"/>
      <c r="O113"/>
    </row>
    <row r="114" spans="1:15" x14ac:dyDescent="0.25">
      <c r="A114" s="4">
        <f t="shared" si="5"/>
        <v>5</v>
      </c>
      <c r="B114" s="32" t="s">
        <v>62</v>
      </c>
      <c r="C114" s="259"/>
      <c r="D114" s="259"/>
      <c r="E114" s="909">
        <f>E182</f>
        <v>223554.76985162759</v>
      </c>
      <c r="G114" s="4" t="s">
        <v>63</v>
      </c>
      <c r="H114" s="4">
        <f>H113+1</f>
        <v>5</v>
      </c>
      <c r="L114"/>
      <c r="M114"/>
      <c r="N114"/>
      <c r="O114"/>
    </row>
    <row r="115" spans="1:15" x14ac:dyDescent="0.25">
      <c r="A115" s="4">
        <f t="shared" si="5"/>
        <v>6</v>
      </c>
      <c r="B115" s="32" t="s">
        <v>64</v>
      </c>
      <c r="C115" s="4"/>
      <c r="D115" s="4"/>
      <c r="E115" s="910">
        <f>SUM(E111:E114)</f>
        <v>6753378.20074281</v>
      </c>
      <c r="F115" s="71"/>
      <c r="G115" s="4" t="s">
        <v>65</v>
      </c>
      <c r="H115" s="4">
        <f t="shared" ref="H115:H148" si="6">H114+1</f>
        <v>6</v>
      </c>
      <c r="L115"/>
      <c r="M115"/>
      <c r="N115"/>
      <c r="O115"/>
    </row>
    <row r="116" spans="1:15" x14ac:dyDescent="0.25">
      <c r="A116" s="4">
        <f t="shared" si="5"/>
        <v>7</v>
      </c>
      <c r="C116" s="4"/>
      <c r="D116" s="4"/>
      <c r="E116" s="11"/>
      <c r="G116" s="4"/>
      <c r="H116" s="4">
        <f t="shared" si="6"/>
        <v>7</v>
      </c>
      <c r="L116"/>
      <c r="M116"/>
      <c r="N116"/>
      <c r="O116"/>
    </row>
    <row r="117" spans="1:15" x14ac:dyDescent="0.25">
      <c r="A117" s="4">
        <f t="shared" si="5"/>
        <v>8</v>
      </c>
      <c r="B117" s="249" t="s">
        <v>66</v>
      </c>
      <c r="C117" s="4"/>
      <c r="D117" s="4"/>
      <c r="E117" s="11"/>
      <c r="G117" s="4"/>
      <c r="H117" s="4">
        <f t="shared" si="6"/>
        <v>8</v>
      </c>
      <c r="L117"/>
      <c r="M117"/>
      <c r="N117"/>
      <c r="O117"/>
    </row>
    <row r="118" spans="1:15" x14ac:dyDescent="0.25">
      <c r="A118" s="4">
        <f t="shared" si="5"/>
        <v>9</v>
      </c>
      <c r="B118" s="32" t="s">
        <v>67</v>
      </c>
      <c r="C118" s="4"/>
      <c r="D118" s="4"/>
      <c r="E118" s="22">
        <f>'Stmt AG'!E11</f>
        <v>2549.5695384615387</v>
      </c>
      <c r="F118" s="71"/>
      <c r="G118" s="4" t="s">
        <v>68</v>
      </c>
      <c r="H118" s="4">
        <f t="shared" si="6"/>
        <v>9</v>
      </c>
      <c r="J118" s="254"/>
      <c r="L118"/>
      <c r="M118"/>
      <c r="N118"/>
      <c r="O118"/>
    </row>
    <row r="119" spans="1:15" x14ac:dyDescent="0.25">
      <c r="A119" s="4">
        <f t="shared" si="5"/>
        <v>10</v>
      </c>
      <c r="B119" s="32" t="s">
        <v>69</v>
      </c>
      <c r="C119" s="4"/>
      <c r="D119" s="4"/>
      <c r="E119" s="23">
        <f>'Stmt Misc.'!E12</f>
        <v>0</v>
      </c>
      <c r="G119" s="4" t="s">
        <v>70</v>
      </c>
      <c r="H119" s="4">
        <f t="shared" si="6"/>
        <v>10</v>
      </c>
      <c r="L119"/>
      <c r="M119"/>
      <c r="N119"/>
      <c r="O119"/>
    </row>
    <row r="120" spans="1:15" x14ac:dyDescent="0.25">
      <c r="A120" s="4">
        <f t="shared" si="5"/>
        <v>11</v>
      </c>
      <c r="B120" s="32" t="s">
        <v>71</v>
      </c>
      <c r="C120" s="4"/>
      <c r="D120" s="4"/>
      <c r="E120" s="1049">
        <f>SUM(E118:E119)</f>
        <v>2549.5695384615387</v>
      </c>
      <c r="F120" s="71"/>
      <c r="G120" s="4" t="s">
        <v>72</v>
      </c>
      <c r="H120" s="4">
        <f t="shared" si="6"/>
        <v>11</v>
      </c>
      <c r="L120"/>
      <c r="M120"/>
      <c r="N120"/>
      <c r="O120"/>
    </row>
    <row r="121" spans="1:15" x14ac:dyDescent="0.25">
      <c r="A121" s="4">
        <f t="shared" si="5"/>
        <v>12</v>
      </c>
      <c r="B121" s="32"/>
      <c r="C121" s="4"/>
      <c r="D121" s="4"/>
      <c r="E121" s="15"/>
      <c r="G121" s="4"/>
      <c r="H121" s="4">
        <f t="shared" si="6"/>
        <v>12</v>
      </c>
      <c r="L121"/>
      <c r="M121"/>
      <c r="N121"/>
      <c r="O121"/>
    </row>
    <row r="122" spans="1:15" x14ac:dyDescent="0.25">
      <c r="A122" s="4">
        <f t="shared" si="5"/>
        <v>13</v>
      </c>
      <c r="B122" s="249" t="s">
        <v>73</v>
      </c>
      <c r="E122" s="11"/>
      <c r="G122" s="4"/>
      <c r="H122" s="4">
        <f t="shared" si="6"/>
        <v>13</v>
      </c>
      <c r="L122"/>
      <c r="M122"/>
      <c r="N122"/>
      <c r="O122"/>
    </row>
    <row r="123" spans="1:15" ht="18.75" x14ac:dyDescent="0.25">
      <c r="A123" s="4">
        <f t="shared" si="5"/>
        <v>14</v>
      </c>
      <c r="B123" s="31" t="s">
        <v>74</v>
      </c>
      <c r="C123" s="4"/>
      <c r="D123" s="4"/>
      <c r="E123" s="7">
        <f>'TO5 Stmt AF Proration'!I25</f>
        <v>-1163727.1133648492</v>
      </c>
      <c r="G123" s="4" t="s">
        <v>1976</v>
      </c>
      <c r="H123" s="4">
        <f t="shared" si="6"/>
        <v>14</v>
      </c>
      <c r="J123" s="567"/>
      <c r="L123"/>
      <c r="M123"/>
      <c r="N123"/>
      <c r="O123"/>
    </row>
    <row r="124" spans="1:15" x14ac:dyDescent="0.25">
      <c r="A124" s="4">
        <f t="shared" si="5"/>
        <v>15</v>
      </c>
      <c r="B124" s="31" t="s">
        <v>76</v>
      </c>
      <c r="C124" s="4"/>
      <c r="D124" s="4"/>
      <c r="E124" s="9">
        <f>'Stmt AF'!I21</f>
        <v>0</v>
      </c>
      <c r="G124" s="4" t="s">
        <v>77</v>
      </c>
      <c r="H124" s="4">
        <f t="shared" si="6"/>
        <v>15</v>
      </c>
      <c r="J124" s="567"/>
      <c r="L124"/>
      <c r="M124"/>
      <c r="N124"/>
      <c r="O124"/>
    </row>
    <row r="125" spans="1:15" x14ac:dyDescent="0.25">
      <c r="A125" s="4">
        <f t="shared" si="5"/>
        <v>16</v>
      </c>
      <c r="B125" s="32" t="s">
        <v>78</v>
      </c>
      <c r="C125" s="4"/>
      <c r="D125" s="4"/>
      <c r="E125" s="910">
        <f>SUM(E123:E124)</f>
        <v>-1163727.1133648492</v>
      </c>
      <c r="G125" s="4" t="s">
        <v>79</v>
      </c>
      <c r="H125" s="4">
        <f t="shared" si="6"/>
        <v>16</v>
      </c>
      <c r="J125" s="35"/>
      <c r="L125"/>
      <c r="M125"/>
      <c r="N125"/>
      <c r="O125"/>
    </row>
    <row r="126" spans="1:15" x14ac:dyDescent="0.25">
      <c r="A126" s="4">
        <f t="shared" si="5"/>
        <v>17</v>
      </c>
      <c r="C126" s="4"/>
      <c r="D126" s="4"/>
      <c r="E126" s="8"/>
      <c r="G126" s="4"/>
      <c r="H126" s="4">
        <f t="shared" si="6"/>
        <v>17</v>
      </c>
      <c r="L126"/>
      <c r="M126"/>
      <c r="N126"/>
      <c r="O126"/>
    </row>
    <row r="127" spans="1:15" x14ac:dyDescent="0.25">
      <c r="A127" s="4">
        <f t="shared" si="5"/>
        <v>18</v>
      </c>
      <c r="B127" s="249" t="s">
        <v>80</v>
      </c>
      <c r="C127" s="4"/>
      <c r="D127" s="4"/>
      <c r="E127" s="8"/>
      <c r="G127" s="4"/>
      <c r="H127" s="4">
        <f t="shared" si="6"/>
        <v>18</v>
      </c>
      <c r="L127"/>
      <c r="M127"/>
      <c r="N127"/>
      <c r="O127"/>
    </row>
    <row r="128" spans="1:15" x14ac:dyDescent="0.25">
      <c r="A128" s="4">
        <f t="shared" si="5"/>
        <v>19</v>
      </c>
      <c r="B128" s="32" t="s">
        <v>81</v>
      </c>
      <c r="C128" s="4"/>
      <c r="D128" s="4"/>
      <c r="E128" s="20">
        <f>'True-Up Stmt AL'!G15</f>
        <v>84822.754196610156</v>
      </c>
      <c r="F128" s="71"/>
      <c r="G128" s="4" t="s">
        <v>1752</v>
      </c>
      <c r="H128" s="4">
        <f t="shared" si="6"/>
        <v>19</v>
      </c>
      <c r="L128"/>
      <c r="M128"/>
      <c r="N128"/>
      <c r="O128"/>
    </row>
    <row r="129" spans="1:15" x14ac:dyDescent="0.25">
      <c r="A129" s="4">
        <f t="shared" si="5"/>
        <v>20</v>
      </c>
      <c r="B129" s="32" t="s">
        <v>83</v>
      </c>
      <c r="C129" s="4"/>
      <c r="D129" s="4"/>
      <c r="E129" s="21">
        <f>'True-Up Stmt AL'!G19</f>
        <v>32887.933929861982</v>
      </c>
      <c r="F129" s="71"/>
      <c r="G129" s="4" t="s">
        <v>1753</v>
      </c>
      <c r="H129" s="4">
        <f t="shared" si="6"/>
        <v>20</v>
      </c>
      <c r="L129"/>
      <c r="M129"/>
      <c r="N129"/>
      <c r="O129"/>
    </row>
    <row r="130" spans="1:15" x14ac:dyDescent="0.25">
      <c r="A130" s="4">
        <f t="shared" si="5"/>
        <v>21</v>
      </c>
      <c r="B130" s="32" t="s">
        <v>84</v>
      </c>
      <c r="C130" s="4"/>
      <c r="D130" s="4"/>
      <c r="E130" s="909">
        <f>'True-Up Stmt AL'!E29</f>
        <v>27288.037949591402</v>
      </c>
      <c r="F130" s="1"/>
      <c r="G130" s="4" t="s">
        <v>1754</v>
      </c>
      <c r="H130" s="4">
        <f t="shared" si="6"/>
        <v>21</v>
      </c>
      <c r="L130"/>
      <c r="M130"/>
      <c r="N130"/>
      <c r="O130"/>
    </row>
    <row r="131" spans="1:15" x14ac:dyDescent="0.25">
      <c r="A131" s="4">
        <f t="shared" si="5"/>
        <v>22</v>
      </c>
      <c r="B131" s="32" t="s">
        <v>85</v>
      </c>
      <c r="E131" s="910">
        <f>SUM(E128:E130)</f>
        <v>144998.72607606355</v>
      </c>
      <c r="F131" s="1"/>
      <c r="G131" s="4" t="s">
        <v>86</v>
      </c>
      <c r="H131" s="4">
        <f t="shared" si="6"/>
        <v>22</v>
      </c>
      <c r="L131"/>
      <c r="M131"/>
      <c r="N131"/>
      <c r="O131"/>
    </row>
    <row r="132" spans="1:15" x14ac:dyDescent="0.25">
      <c r="A132" s="4">
        <f t="shared" si="5"/>
        <v>23</v>
      </c>
      <c r="B132" s="32"/>
      <c r="E132" s="11"/>
      <c r="G132" s="4"/>
      <c r="H132" s="4">
        <f t="shared" si="6"/>
        <v>23</v>
      </c>
      <c r="L132"/>
      <c r="M132"/>
      <c r="N132"/>
      <c r="O132"/>
    </row>
    <row r="133" spans="1:15" x14ac:dyDescent="0.25">
      <c r="A133" s="4">
        <f t="shared" si="5"/>
        <v>24</v>
      </c>
      <c r="B133" s="839" t="s">
        <v>87</v>
      </c>
      <c r="E133" s="846">
        <f>'True-Up Stmt Misc'!E14</f>
        <v>0</v>
      </c>
      <c r="G133" s="838" t="s">
        <v>1763</v>
      </c>
      <c r="H133" s="4">
        <f t="shared" si="6"/>
        <v>24</v>
      </c>
      <c r="L133"/>
      <c r="M133"/>
      <c r="N133"/>
      <c r="O133"/>
    </row>
    <row r="134" spans="1:15" x14ac:dyDescent="0.25">
      <c r="A134" s="4">
        <f t="shared" si="5"/>
        <v>25</v>
      </c>
      <c r="B134" s="839" t="s">
        <v>89</v>
      </c>
      <c r="E134" s="1118">
        <f>'True-Up Stmt Misc'!E16</f>
        <v>-10738.380956993991</v>
      </c>
      <c r="G134" s="838" t="s">
        <v>1764</v>
      </c>
      <c r="H134" s="4">
        <f t="shared" si="6"/>
        <v>25</v>
      </c>
      <c r="L134"/>
      <c r="M134"/>
      <c r="N134"/>
      <c r="O134"/>
    </row>
    <row r="135" spans="1:15" x14ac:dyDescent="0.25">
      <c r="A135" s="4">
        <f t="shared" si="5"/>
        <v>26</v>
      </c>
      <c r="B135" s="32"/>
      <c r="E135" s="11"/>
      <c r="G135" s="4"/>
      <c r="H135" s="4">
        <f t="shared" si="6"/>
        <v>26</v>
      </c>
      <c r="J135" s="35"/>
      <c r="L135"/>
      <c r="M135"/>
      <c r="N135"/>
      <c r="O135"/>
    </row>
    <row r="136" spans="1:15" ht="16.5" thickBot="1" x14ac:dyDescent="0.3">
      <c r="A136" s="4">
        <f t="shared" si="5"/>
        <v>27</v>
      </c>
      <c r="B136" s="32" t="s">
        <v>1304</v>
      </c>
      <c r="E136" s="24">
        <f>E134+E131+E125+E120+E115</f>
        <v>5726461.0020354921</v>
      </c>
      <c r="F136" s="1"/>
      <c r="G136" s="838" t="s">
        <v>92</v>
      </c>
      <c r="H136" s="4">
        <f t="shared" si="6"/>
        <v>27</v>
      </c>
      <c r="J136" s="871"/>
      <c r="L136"/>
      <c r="M136"/>
      <c r="N136"/>
      <c r="O136"/>
    </row>
    <row r="137" spans="1:15" ht="16.5" thickTop="1" x14ac:dyDescent="0.25">
      <c r="A137" s="4">
        <f t="shared" si="5"/>
        <v>28</v>
      </c>
      <c r="B137" s="32"/>
      <c r="E137" s="10"/>
      <c r="G137" s="4"/>
      <c r="H137" s="4">
        <f t="shared" si="6"/>
        <v>28</v>
      </c>
      <c r="L137"/>
      <c r="M137"/>
      <c r="N137"/>
      <c r="O137"/>
    </row>
    <row r="138" spans="1:15" ht="18.75" x14ac:dyDescent="0.25">
      <c r="A138" s="4">
        <f t="shared" si="5"/>
        <v>29</v>
      </c>
      <c r="B138" s="247" t="s">
        <v>93</v>
      </c>
      <c r="E138" s="10"/>
      <c r="G138" s="4"/>
      <c r="H138" s="4">
        <f t="shared" si="6"/>
        <v>29</v>
      </c>
      <c r="L138"/>
      <c r="M138"/>
      <c r="N138"/>
      <c r="O138"/>
    </row>
    <row r="139" spans="1:15" x14ac:dyDescent="0.25">
      <c r="A139" s="4">
        <f t="shared" si="5"/>
        <v>30</v>
      </c>
      <c r="B139" s="32" t="s">
        <v>94</v>
      </c>
      <c r="E139" s="7">
        <f>E188</f>
        <v>0</v>
      </c>
      <c r="G139" s="838" t="s">
        <v>95</v>
      </c>
      <c r="H139" s="4">
        <f t="shared" si="6"/>
        <v>30</v>
      </c>
      <c r="L139"/>
      <c r="M139"/>
      <c r="N139"/>
      <c r="O139"/>
    </row>
    <row r="140" spans="1:15" x14ac:dyDescent="0.25">
      <c r="A140" s="4">
        <f t="shared" si="5"/>
        <v>31</v>
      </c>
      <c r="B140" s="32" t="s">
        <v>96</v>
      </c>
      <c r="E140" s="9">
        <f>'Stmt AF'!I19</f>
        <v>0</v>
      </c>
      <c r="G140" s="838" t="s">
        <v>97</v>
      </c>
      <c r="H140" s="4">
        <f t="shared" si="6"/>
        <v>31</v>
      </c>
      <c r="J140" s="254"/>
      <c r="L140"/>
      <c r="M140"/>
      <c r="N140"/>
      <c r="O140"/>
    </row>
    <row r="141" spans="1:15" ht="16.5" thickBot="1" x14ac:dyDescent="0.3">
      <c r="A141" s="4">
        <f t="shared" si="5"/>
        <v>32</v>
      </c>
      <c r="B141" s="31" t="s">
        <v>98</v>
      </c>
      <c r="E141" s="17">
        <f>SUM(E139:E140)</f>
        <v>0</v>
      </c>
      <c r="G141" s="838" t="s">
        <v>99</v>
      </c>
      <c r="H141" s="4">
        <f t="shared" si="6"/>
        <v>32</v>
      </c>
      <c r="L141"/>
      <c r="M141"/>
      <c r="N141"/>
      <c r="O141"/>
    </row>
    <row r="142" spans="1:15" ht="16.5" thickTop="1" x14ac:dyDescent="0.25">
      <c r="A142" s="4">
        <f t="shared" si="5"/>
        <v>33</v>
      </c>
      <c r="B142" s="32"/>
      <c r="E142" s="10"/>
      <c r="G142" s="4"/>
      <c r="H142" s="4">
        <f t="shared" si="6"/>
        <v>33</v>
      </c>
      <c r="L142"/>
      <c r="M142"/>
      <c r="N142"/>
      <c r="O142"/>
    </row>
    <row r="143" spans="1:15" ht="18.75" x14ac:dyDescent="0.25">
      <c r="A143" s="4">
        <f t="shared" si="5"/>
        <v>34</v>
      </c>
      <c r="B143" s="247" t="s">
        <v>100</v>
      </c>
      <c r="E143" s="10"/>
      <c r="G143" s="4"/>
      <c r="H143" s="4">
        <f t="shared" si="6"/>
        <v>34</v>
      </c>
      <c r="L143"/>
      <c r="M143"/>
      <c r="N143"/>
      <c r="O143"/>
    </row>
    <row r="144" spans="1:15" x14ac:dyDescent="0.25">
      <c r="A144" s="4">
        <f t="shared" si="5"/>
        <v>35</v>
      </c>
      <c r="B144" s="32" t="s">
        <v>101</v>
      </c>
      <c r="E144" s="7">
        <f>'Stmt Misc.'!E18</f>
        <v>0</v>
      </c>
      <c r="G144" s="838" t="s">
        <v>102</v>
      </c>
      <c r="H144" s="4">
        <f t="shared" si="6"/>
        <v>35</v>
      </c>
      <c r="L144"/>
      <c r="M144"/>
      <c r="N144"/>
      <c r="O144"/>
    </row>
    <row r="145" spans="1:15" x14ac:dyDescent="0.25">
      <c r="A145" s="4">
        <f t="shared" si="5"/>
        <v>36</v>
      </c>
      <c r="B145" s="31" t="s">
        <v>103</v>
      </c>
      <c r="E145" s="841">
        <f>'Stmt AF'!I23</f>
        <v>0</v>
      </c>
      <c r="G145" s="838" t="s">
        <v>104</v>
      </c>
      <c r="H145" s="4">
        <f t="shared" si="6"/>
        <v>36</v>
      </c>
      <c r="J145" s="254"/>
      <c r="L145"/>
      <c r="M145"/>
      <c r="N145"/>
      <c r="O145"/>
    </row>
    <row r="146" spans="1:15" ht="16.5" thickBot="1" x14ac:dyDescent="0.3">
      <c r="A146" s="4">
        <f t="shared" si="5"/>
        <v>37</v>
      </c>
      <c r="B146" s="31" t="s">
        <v>105</v>
      </c>
      <c r="E146" s="17">
        <f>SUM(E144:E145)</f>
        <v>0</v>
      </c>
      <c r="G146" s="838" t="s">
        <v>106</v>
      </c>
      <c r="H146" s="4">
        <f t="shared" si="6"/>
        <v>37</v>
      </c>
      <c r="L146"/>
      <c r="M146"/>
      <c r="N146"/>
      <c r="O146"/>
    </row>
    <row r="147" spans="1:15" ht="16.5" thickTop="1" x14ac:dyDescent="0.25">
      <c r="A147" s="4">
        <f t="shared" si="5"/>
        <v>38</v>
      </c>
      <c r="B147" s="32"/>
      <c r="E147" s="10"/>
      <c r="G147" s="4"/>
      <c r="H147" s="4">
        <f t="shared" si="6"/>
        <v>38</v>
      </c>
      <c r="L147"/>
      <c r="M147"/>
      <c r="N147"/>
      <c r="O147"/>
    </row>
    <row r="148" spans="1:15" ht="19.5" thickBot="1" x14ac:dyDescent="0.3">
      <c r="A148" s="4">
        <f t="shared" si="5"/>
        <v>39</v>
      </c>
      <c r="B148" s="247" t="s">
        <v>107</v>
      </c>
      <c r="E148" s="1148">
        <f>'Stmt AM'!E11</f>
        <v>0</v>
      </c>
      <c r="G148" s="4" t="s">
        <v>108</v>
      </c>
      <c r="H148" s="4">
        <f t="shared" si="6"/>
        <v>39</v>
      </c>
      <c r="L148"/>
      <c r="M148"/>
      <c r="N148"/>
      <c r="O148"/>
    </row>
    <row r="149" spans="1:15" ht="16.5" thickTop="1" x14ac:dyDescent="0.25">
      <c r="B149" s="32"/>
      <c r="E149" s="10"/>
      <c r="G149" s="4"/>
      <c r="L149"/>
      <c r="M149"/>
      <c r="N149"/>
      <c r="O149"/>
    </row>
    <row r="150" spans="1:15" x14ac:dyDescent="0.25">
      <c r="B150" s="32"/>
      <c r="E150" s="10"/>
      <c r="G150" s="4"/>
      <c r="L150"/>
      <c r="M150"/>
      <c r="N150"/>
      <c r="O150"/>
    </row>
    <row r="151" spans="1:15" ht="18.75" x14ac:dyDescent="0.25">
      <c r="A151" s="252">
        <v>1</v>
      </c>
      <c r="B151" s="32" t="s">
        <v>109</v>
      </c>
      <c r="E151" s="10"/>
      <c r="G151" s="4"/>
      <c r="L151"/>
      <c r="M151"/>
      <c r="N151"/>
      <c r="O151"/>
    </row>
    <row r="152" spans="1:15" ht="18.75" x14ac:dyDescent="0.25">
      <c r="A152" s="252">
        <v>2</v>
      </c>
      <c r="B152" s="31" t="s">
        <v>52</v>
      </c>
      <c r="E152" s="10"/>
      <c r="G152" s="4"/>
      <c r="L152"/>
      <c r="M152"/>
      <c r="N152"/>
      <c r="O152"/>
    </row>
    <row r="153" spans="1:15" x14ac:dyDescent="0.25">
      <c r="B153" s="1"/>
      <c r="E153" s="10"/>
      <c r="G153" s="4"/>
      <c r="L153"/>
      <c r="M153"/>
      <c r="N153"/>
      <c r="O153"/>
    </row>
    <row r="154" spans="1:15" x14ac:dyDescent="0.25">
      <c r="B154" s="1"/>
      <c r="E154" s="10"/>
      <c r="G154" s="4"/>
      <c r="L154"/>
      <c r="M154"/>
      <c r="N154"/>
      <c r="O154"/>
    </row>
    <row r="155" spans="1:15" x14ac:dyDescent="0.25">
      <c r="B155" s="1316" t="s">
        <v>0</v>
      </c>
      <c r="C155" s="1313"/>
      <c r="D155" s="1313"/>
      <c r="E155" s="1313"/>
      <c r="F155" s="1313"/>
      <c r="G155" s="1313"/>
      <c r="L155"/>
      <c r="M155"/>
      <c r="N155"/>
      <c r="O155"/>
    </row>
    <row r="156" spans="1:15" x14ac:dyDescent="0.25">
      <c r="A156" s="4" t="s">
        <v>1</v>
      </c>
      <c r="B156" s="1316" t="s">
        <v>2</v>
      </c>
      <c r="C156" s="1313"/>
      <c r="D156" s="1313"/>
      <c r="E156" s="1313"/>
      <c r="F156" s="1313"/>
      <c r="G156" s="1313"/>
      <c r="L156"/>
      <c r="M156"/>
      <c r="N156"/>
      <c r="O156"/>
    </row>
    <row r="157" spans="1:15" ht="17.25" x14ac:dyDescent="0.25">
      <c r="B157" s="1316" t="s">
        <v>3</v>
      </c>
      <c r="C157" s="1317"/>
      <c r="D157" s="1317"/>
      <c r="E157" s="1317"/>
      <c r="F157" s="1317"/>
      <c r="G157" s="1317"/>
      <c r="L157"/>
      <c r="M157"/>
      <c r="N157"/>
      <c r="O157"/>
    </row>
    <row r="158" spans="1:15" x14ac:dyDescent="0.25">
      <c r="B158" s="1318" t="str">
        <f>B5</f>
        <v>For the Base Period &amp; True-Up Period Ending December 31, 2025</v>
      </c>
      <c r="C158" s="1319"/>
      <c r="D158" s="1319"/>
      <c r="E158" s="1319"/>
      <c r="F158" s="1319"/>
      <c r="G158" s="1319"/>
      <c r="L158"/>
      <c r="M158"/>
      <c r="N158"/>
      <c r="O158"/>
    </row>
    <row r="159" spans="1:15" x14ac:dyDescent="0.25">
      <c r="B159" s="1312" t="s">
        <v>4</v>
      </c>
      <c r="C159" s="1313"/>
      <c r="D159" s="1313"/>
      <c r="E159" s="1313"/>
      <c r="F159" s="1313"/>
      <c r="G159" s="1313"/>
      <c r="L159"/>
      <c r="M159"/>
      <c r="N159"/>
      <c r="O159"/>
    </row>
    <row r="160" spans="1:15" x14ac:dyDescent="0.25">
      <c r="B160" s="34"/>
      <c r="L160"/>
      <c r="M160"/>
      <c r="N160"/>
      <c r="O160"/>
    </row>
    <row r="161" spans="1:15" x14ac:dyDescent="0.25">
      <c r="A161" s="4" t="s">
        <v>5</v>
      </c>
      <c r="E161" s="25"/>
      <c r="G161" s="4"/>
      <c r="H161" s="4" t="s">
        <v>5</v>
      </c>
      <c r="L161"/>
      <c r="M161"/>
      <c r="N161"/>
      <c r="O161"/>
    </row>
    <row r="162" spans="1:15" x14ac:dyDescent="0.25">
      <c r="A162" s="4" t="s">
        <v>6</v>
      </c>
      <c r="B162" s="1" t="s">
        <v>1</v>
      </c>
      <c r="E162" s="907" t="s">
        <v>7</v>
      </c>
      <c r="G162" s="848" t="s">
        <v>8</v>
      </c>
      <c r="H162" s="4" t="s">
        <v>6</v>
      </c>
      <c r="L162"/>
      <c r="M162"/>
      <c r="N162"/>
      <c r="O162"/>
    </row>
    <row r="163" spans="1:15" x14ac:dyDescent="0.25">
      <c r="B163" s="247" t="s">
        <v>110</v>
      </c>
      <c r="E163" s="25"/>
      <c r="G163" s="4"/>
      <c r="L163"/>
      <c r="M163"/>
      <c r="N163"/>
      <c r="O163"/>
    </row>
    <row r="164" spans="1:15" x14ac:dyDescent="0.25">
      <c r="A164" s="4">
        <v>1</v>
      </c>
      <c r="B164" s="249" t="s">
        <v>111</v>
      </c>
      <c r="E164" s="25"/>
      <c r="G164" s="4"/>
      <c r="H164" s="4">
        <f>A164</f>
        <v>1</v>
      </c>
      <c r="L164"/>
      <c r="M164"/>
      <c r="N164"/>
      <c r="O164"/>
    </row>
    <row r="165" spans="1:15" x14ac:dyDescent="0.25">
      <c r="A165" s="4">
        <f t="shared" ref="A165:A188" si="7">A164+1</f>
        <v>2</v>
      </c>
      <c r="B165" s="32" t="s">
        <v>56</v>
      </c>
      <c r="E165" s="7">
        <f>'Stmt AD'!I21</f>
        <v>8948474.2530016713</v>
      </c>
      <c r="F165" s="71"/>
      <c r="G165" s="4" t="s">
        <v>112</v>
      </c>
      <c r="H165" s="4">
        <f t="shared" ref="H165:H188" si="8">H164+1</f>
        <v>2</v>
      </c>
      <c r="J165" s="251"/>
      <c r="L165"/>
      <c r="M165"/>
      <c r="N165"/>
      <c r="O165"/>
    </row>
    <row r="166" spans="1:15" x14ac:dyDescent="0.25">
      <c r="A166" s="4">
        <f t="shared" si="7"/>
        <v>3</v>
      </c>
      <c r="B166" s="32" t="s">
        <v>113</v>
      </c>
      <c r="E166" s="9">
        <f>'True Up Stmt AD'!I37</f>
        <v>0</v>
      </c>
      <c r="F166" s="41"/>
      <c r="G166" s="4" t="s">
        <v>1977</v>
      </c>
      <c r="H166" s="4">
        <f t="shared" si="8"/>
        <v>3</v>
      </c>
      <c r="J166" s="251"/>
      <c r="K166" s="414"/>
      <c r="L166"/>
      <c r="M166"/>
      <c r="N166"/>
      <c r="O166"/>
    </row>
    <row r="167" spans="1:15" x14ac:dyDescent="0.25">
      <c r="A167" s="4">
        <f t="shared" si="7"/>
        <v>4</v>
      </c>
      <c r="B167" s="32" t="s">
        <v>60</v>
      </c>
      <c r="E167" s="9">
        <f>'True Up Stmt AD'!I39</f>
        <v>65074.471004096384</v>
      </c>
      <c r="G167" s="4" t="s">
        <v>1978</v>
      </c>
      <c r="H167" s="4">
        <f t="shared" si="8"/>
        <v>4</v>
      </c>
      <c r="J167" s="251"/>
      <c r="K167" s="414"/>
      <c r="L167"/>
      <c r="M167"/>
      <c r="N167"/>
      <c r="O167"/>
    </row>
    <row r="168" spans="1:15" x14ac:dyDescent="0.25">
      <c r="A168" s="4">
        <f t="shared" si="7"/>
        <v>5</v>
      </c>
      <c r="B168" s="32" t="s">
        <v>62</v>
      </c>
      <c r="C168" s="4"/>
      <c r="D168" s="4"/>
      <c r="E168" s="841">
        <f>'True Up Stmt AD'!I41</f>
        <v>416820.78184381907</v>
      </c>
      <c r="G168" s="4" t="s">
        <v>1979</v>
      </c>
      <c r="H168" s="4">
        <f t="shared" si="8"/>
        <v>5</v>
      </c>
      <c r="K168" s="414"/>
      <c r="L168"/>
      <c r="M168"/>
      <c r="N168"/>
      <c r="O168"/>
    </row>
    <row r="169" spans="1:15" x14ac:dyDescent="0.25">
      <c r="A169" s="4">
        <f t="shared" si="7"/>
        <v>6</v>
      </c>
      <c r="B169" s="32" t="s">
        <v>117</v>
      </c>
      <c r="E169" s="910">
        <f>SUM(E165:E168)</f>
        <v>9430369.5058495868</v>
      </c>
      <c r="F169" s="71"/>
      <c r="G169" s="4" t="s">
        <v>65</v>
      </c>
      <c r="H169" s="4">
        <f t="shared" si="8"/>
        <v>6</v>
      </c>
      <c r="J169" s="251"/>
      <c r="L169"/>
      <c r="M169"/>
      <c r="N169"/>
      <c r="O169"/>
    </row>
    <row r="170" spans="1:15" x14ac:dyDescent="0.25">
      <c r="A170" s="4">
        <f t="shared" si="7"/>
        <v>7</v>
      </c>
      <c r="C170" s="4"/>
      <c r="D170" s="4"/>
      <c r="E170" s="25"/>
      <c r="G170" s="4"/>
      <c r="H170" s="4">
        <f t="shared" si="8"/>
        <v>7</v>
      </c>
      <c r="L170"/>
      <c r="M170"/>
      <c r="N170"/>
      <c r="O170"/>
    </row>
    <row r="171" spans="1:15" x14ac:dyDescent="0.25">
      <c r="A171" s="4">
        <f t="shared" si="7"/>
        <v>8</v>
      </c>
      <c r="B171" s="250" t="s">
        <v>118</v>
      </c>
      <c r="E171" s="25"/>
      <c r="G171" s="4"/>
      <c r="H171" s="4">
        <f t="shared" si="8"/>
        <v>8</v>
      </c>
      <c r="L171"/>
      <c r="M171"/>
      <c r="N171"/>
      <c r="O171"/>
    </row>
    <row r="172" spans="1:15" x14ac:dyDescent="0.25">
      <c r="A172" s="4">
        <f t="shared" si="7"/>
        <v>9</v>
      </c>
      <c r="B172" s="31" t="s">
        <v>119</v>
      </c>
      <c r="E172" s="7">
        <f>'Stmt AE'!I11</f>
        <v>2446724.2792333583</v>
      </c>
      <c r="F172" s="71"/>
      <c r="G172" s="4" t="s">
        <v>120</v>
      </c>
      <c r="H172" s="4">
        <f t="shared" si="8"/>
        <v>9</v>
      </c>
      <c r="L172"/>
      <c r="M172"/>
      <c r="N172"/>
      <c r="O172"/>
    </row>
    <row r="173" spans="1:15" x14ac:dyDescent="0.25">
      <c r="A173" s="4">
        <f t="shared" si="7"/>
        <v>10</v>
      </c>
      <c r="B173" s="31" t="s">
        <v>121</v>
      </c>
      <c r="E173" s="9">
        <f>'True-Up Stmt AE'!I21</f>
        <v>0</v>
      </c>
      <c r="F173" s="41"/>
      <c r="G173" s="4" t="s">
        <v>1980</v>
      </c>
      <c r="H173" s="4">
        <f t="shared" si="8"/>
        <v>10</v>
      </c>
      <c r="K173" s="414"/>
      <c r="L173"/>
      <c r="M173"/>
      <c r="N173"/>
      <c r="O173"/>
    </row>
    <row r="174" spans="1:15" x14ac:dyDescent="0.25">
      <c r="A174" s="4">
        <f t="shared" si="7"/>
        <v>11</v>
      </c>
      <c r="B174" s="31" t="s">
        <v>123</v>
      </c>
      <c r="E174" s="9">
        <f>'True-Up Stmt AE'!I23</f>
        <v>37001.013881226783</v>
      </c>
      <c r="G174" s="4" t="s">
        <v>1981</v>
      </c>
      <c r="H174" s="4">
        <f t="shared" si="8"/>
        <v>11</v>
      </c>
      <c r="K174" s="414"/>
      <c r="L174"/>
      <c r="M174"/>
      <c r="N174"/>
      <c r="O174"/>
    </row>
    <row r="175" spans="1:15" x14ac:dyDescent="0.25">
      <c r="A175" s="4">
        <f t="shared" si="7"/>
        <v>12</v>
      </c>
      <c r="B175" s="31" t="s">
        <v>125</v>
      </c>
      <c r="E175" s="841">
        <f>'True-Up Stmt AE'!I25</f>
        <v>193266.01199219149</v>
      </c>
      <c r="G175" s="4" t="s">
        <v>1982</v>
      </c>
      <c r="H175" s="4">
        <f t="shared" si="8"/>
        <v>12</v>
      </c>
      <c r="K175" s="414"/>
      <c r="L175"/>
      <c r="M175"/>
      <c r="N175"/>
      <c r="O175"/>
    </row>
    <row r="176" spans="1:15" x14ac:dyDescent="0.25">
      <c r="A176" s="4">
        <f t="shared" si="7"/>
        <v>13</v>
      </c>
      <c r="B176" s="251" t="s">
        <v>127</v>
      </c>
      <c r="C176" s="251"/>
      <c r="D176" s="251"/>
      <c r="E176" s="910">
        <f>SUM(E172:E175)</f>
        <v>2676991.3051067768</v>
      </c>
      <c r="F176" s="71"/>
      <c r="G176" s="4" t="s">
        <v>128</v>
      </c>
      <c r="H176" s="4">
        <f t="shared" si="8"/>
        <v>13</v>
      </c>
      <c r="L176"/>
      <c r="M176"/>
      <c r="N176"/>
      <c r="O176"/>
    </row>
    <row r="177" spans="1:15" x14ac:dyDescent="0.25">
      <c r="A177" s="4">
        <f t="shared" si="7"/>
        <v>14</v>
      </c>
      <c r="B177" s="251"/>
      <c r="C177" s="251"/>
      <c r="D177" s="251"/>
      <c r="E177" s="8"/>
      <c r="G177" s="4"/>
      <c r="H177" s="4">
        <f t="shared" si="8"/>
        <v>14</v>
      </c>
      <c r="L177"/>
      <c r="M177"/>
      <c r="N177"/>
      <c r="O177"/>
    </row>
    <row r="178" spans="1:15" x14ac:dyDescent="0.25">
      <c r="A178" s="4">
        <f t="shared" si="7"/>
        <v>15</v>
      </c>
      <c r="B178" s="249" t="s">
        <v>55</v>
      </c>
      <c r="C178" s="251"/>
      <c r="D178" s="251"/>
      <c r="E178" s="8"/>
      <c r="G178" s="4"/>
      <c r="H178" s="4">
        <f t="shared" si="8"/>
        <v>15</v>
      </c>
      <c r="L178"/>
      <c r="M178"/>
      <c r="N178"/>
      <c r="O178"/>
    </row>
    <row r="179" spans="1:15" x14ac:dyDescent="0.25">
      <c r="A179" s="4">
        <f t="shared" si="7"/>
        <v>16</v>
      </c>
      <c r="B179" s="32" t="s">
        <v>56</v>
      </c>
      <c r="E179" s="10">
        <f>+E165-E172</f>
        <v>6501749.9737683125</v>
      </c>
      <c r="F179" s="71"/>
      <c r="G179" s="4" t="s">
        <v>1606</v>
      </c>
      <c r="H179" s="4">
        <f t="shared" si="8"/>
        <v>16</v>
      </c>
      <c r="L179"/>
      <c r="M179"/>
      <c r="N179"/>
      <c r="O179"/>
    </row>
    <row r="180" spans="1:15" x14ac:dyDescent="0.25">
      <c r="A180" s="4">
        <f t="shared" si="7"/>
        <v>17</v>
      </c>
      <c r="B180" s="32" t="s">
        <v>58</v>
      </c>
      <c r="E180" s="8">
        <f>+E166-E173</f>
        <v>0</v>
      </c>
      <c r="F180" s="71"/>
      <c r="G180" s="4" t="s">
        <v>1607</v>
      </c>
      <c r="H180" s="4">
        <f t="shared" si="8"/>
        <v>17</v>
      </c>
      <c r="L180"/>
      <c r="M180"/>
      <c r="N180"/>
      <c r="O180"/>
    </row>
    <row r="181" spans="1:15" x14ac:dyDescent="0.25">
      <c r="A181" s="4">
        <f t="shared" si="7"/>
        <v>18</v>
      </c>
      <c r="B181" s="32" t="s">
        <v>60</v>
      </c>
      <c r="E181" s="8">
        <f>+E167-E174</f>
        <v>28073.4571228696</v>
      </c>
      <c r="G181" s="4" t="s">
        <v>1608</v>
      </c>
      <c r="H181" s="4">
        <f t="shared" si="8"/>
        <v>18</v>
      </c>
      <c r="L181"/>
      <c r="M181"/>
      <c r="N181"/>
      <c r="O181"/>
    </row>
    <row r="182" spans="1:15" x14ac:dyDescent="0.25">
      <c r="A182" s="4">
        <f t="shared" si="7"/>
        <v>19</v>
      </c>
      <c r="B182" s="32" t="s">
        <v>62</v>
      </c>
      <c r="E182" s="911">
        <f>+E168-E175</f>
        <v>223554.76985162759</v>
      </c>
      <c r="G182" s="4" t="s">
        <v>1609</v>
      </c>
      <c r="H182" s="4">
        <f t="shared" si="8"/>
        <v>19</v>
      </c>
      <c r="L182"/>
      <c r="M182"/>
      <c r="N182"/>
      <c r="O182"/>
    </row>
    <row r="183" spans="1:15" ht="16.5" thickBot="1" x14ac:dyDescent="0.3">
      <c r="A183" s="4">
        <f t="shared" si="7"/>
        <v>20</v>
      </c>
      <c r="B183" s="31" t="s">
        <v>64</v>
      </c>
      <c r="E183" s="17">
        <f>SUM(E179:E182)</f>
        <v>6753378.20074281</v>
      </c>
      <c r="F183" s="71"/>
      <c r="G183" s="4" t="s">
        <v>129</v>
      </c>
      <c r="H183" s="4">
        <f t="shared" si="8"/>
        <v>20</v>
      </c>
      <c r="L183"/>
      <c r="M183"/>
      <c r="N183"/>
      <c r="O183"/>
    </row>
    <row r="184" spans="1:15" ht="16.5" thickTop="1" x14ac:dyDescent="0.25">
      <c r="A184" s="4">
        <f t="shared" si="7"/>
        <v>21</v>
      </c>
      <c r="E184" s="10"/>
      <c r="G184" s="4"/>
      <c r="H184" s="4">
        <f t="shared" si="8"/>
        <v>21</v>
      </c>
      <c r="L184"/>
      <c r="M184"/>
      <c r="N184"/>
      <c r="O184"/>
    </row>
    <row r="185" spans="1:15" ht="18.75" x14ac:dyDescent="0.25">
      <c r="A185" s="4">
        <f t="shared" si="7"/>
        <v>22</v>
      </c>
      <c r="B185" s="247" t="s">
        <v>1305</v>
      </c>
      <c r="E185" s="10"/>
      <c r="G185" s="4"/>
      <c r="H185" s="4">
        <f t="shared" si="8"/>
        <v>22</v>
      </c>
      <c r="L185"/>
      <c r="M185"/>
      <c r="N185"/>
      <c r="O185"/>
    </row>
    <row r="186" spans="1:15" x14ac:dyDescent="0.25">
      <c r="A186" s="4">
        <f t="shared" si="7"/>
        <v>23</v>
      </c>
      <c r="B186" s="32" t="s">
        <v>131</v>
      </c>
      <c r="E186" s="7">
        <f>'Stmt AD'!I23</f>
        <v>0</v>
      </c>
      <c r="G186" s="4" t="s">
        <v>132</v>
      </c>
      <c r="H186" s="4">
        <f t="shared" si="8"/>
        <v>23</v>
      </c>
      <c r="L186"/>
      <c r="M186"/>
      <c r="N186"/>
      <c r="O186"/>
    </row>
    <row r="187" spans="1:15" x14ac:dyDescent="0.25">
      <c r="A187" s="4">
        <f t="shared" si="7"/>
        <v>24</v>
      </c>
      <c r="B187" s="31" t="s">
        <v>133</v>
      </c>
      <c r="E187" s="841">
        <f>'Stmt AE'!I29</f>
        <v>0</v>
      </c>
      <c r="G187" s="4" t="s">
        <v>134</v>
      </c>
      <c r="H187" s="4">
        <f t="shared" si="8"/>
        <v>24</v>
      </c>
      <c r="L187"/>
      <c r="M187"/>
      <c r="N187"/>
      <c r="O187"/>
    </row>
    <row r="188" spans="1:15" ht="16.5" thickBot="1" x14ac:dyDescent="0.3">
      <c r="A188" s="4">
        <f t="shared" si="7"/>
        <v>25</v>
      </c>
      <c r="B188" s="32" t="s">
        <v>135</v>
      </c>
      <c r="E188" s="24">
        <f>E186-E187</f>
        <v>0</v>
      </c>
      <c r="G188" s="4" t="s">
        <v>1610</v>
      </c>
      <c r="H188" s="4">
        <f t="shared" si="8"/>
        <v>25</v>
      </c>
      <c r="L188"/>
      <c r="M188"/>
      <c r="N188"/>
      <c r="O188"/>
    </row>
    <row r="189" spans="1:15" ht="16.5" thickTop="1" x14ac:dyDescent="0.25">
      <c r="B189" s="32"/>
      <c r="E189" s="10"/>
      <c r="G189" s="4"/>
      <c r="L189"/>
      <c r="M189"/>
      <c r="N189"/>
      <c r="O189"/>
    </row>
    <row r="190" spans="1:15" x14ac:dyDescent="0.25">
      <c r="B190" s="32"/>
      <c r="E190" s="10"/>
      <c r="G190" s="4"/>
      <c r="L190"/>
      <c r="M190"/>
      <c r="N190"/>
      <c r="O190"/>
    </row>
    <row r="191" spans="1:15" ht="18.75" x14ac:dyDescent="0.25">
      <c r="A191" s="252">
        <v>1</v>
      </c>
      <c r="B191" s="31" t="s">
        <v>1306</v>
      </c>
      <c r="E191" s="10"/>
      <c r="G191" s="4"/>
      <c r="L191"/>
      <c r="M191"/>
      <c r="N191"/>
      <c r="O191"/>
    </row>
    <row r="192" spans="1:15" x14ac:dyDescent="0.25">
      <c r="E192" s="10"/>
      <c r="G192" s="4"/>
      <c r="L192"/>
      <c r="M192"/>
      <c r="N192"/>
      <c r="O192"/>
    </row>
    <row r="193" spans="1:15" x14ac:dyDescent="0.25">
      <c r="E193" s="10"/>
      <c r="G193" s="4"/>
      <c r="L193"/>
      <c r="M193"/>
      <c r="N193"/>
      <c r="O193"/>
    </row>
    <row r="194" spans="1:15" x14ac:dyDescent="0.25">
      <c r="A194" s="71"/>
      <c r="E194" s="10"/>
      <c r="G194" s="4"/>
      <c r="L194"/>
      <c r="M194"/>
      <c r="N194"/>
      <c r="O194"/>
    </row>
    <row r="195" spans="1:15" x14ac:dyDescent="0.25">
      <c r="E195" s="10"/>
      <c r="G195" s="4"/>
      <c r="J195" s="35"/>
      <c r="L195"/>
      <c r="M195"/>
      <c r="N195"/>
      <c r="O195"/>
    </row>
    <row r="196" spans="1:15" x14ac:dyDescent="0.25">
      <c r="L196"/>
      <c r="M196"/>
      <c r="N196"/>
      <c r="O196"/>
    </row>
    <row r="197" spans="1:15" x14ac:dyDescent="0.25">
      <c r="L197"/>
      <c r="M197"/>
      <c r="N197"/>
      <c r="O197"/>
    </row>
    <row r="198" spans="1:15" x14ac:dyDescent="0.25">
      <c r="L198"/>
      <c r="M198"/>
      <c r="N198"/>
      <c r="O198"/>
    </row>
    <row r="199" spans="1:15" x14ac:dyDescent="0.25">
      <c r="L199"/>
      <c r="M199"/>
      <c r="N199"/>
      <c r="O199"/>
    </row>
    <row r="200" spans="1:15" x14ac:dyDescent="0.25">
      <c r="L200"/>
      <c r="M200"/>
      <c r="N200"/>
      <c r="O200"/>
    </row>
    <row r="201" spans="1:15" x14ac:dyDescent="0.25">
      <c r="L201"/>
      <c r="M201"/>
      <c r="N201"/>
      <c r="O201"/>
    </row>
    <row r="202" spans="1:15" x14ac:dyDescent="0.25">
      <c r="L202"/>
      <c r="M202"/>
      <c r="N202"/>
      <c r="O202"/>
    </row>
    <row r="203" spans="1:15" x14ac:dyDescent="0.25">
      <c r="L203"/>
      <c r="M203"/>
      <c r="N203"/>
      <c r="O203"/>
    </row>
    <row r="204" spans="1:15" x14ac:dyDescent="0.25">
      <c r="L204"/>
      <c r="M204"/>
      <c r="N204"/>
      <c r="O204"/>
    </row>
    <row r="205" spans="1:15" x14ac:dyDescent="0.25">
      <c r="L205"/>
      <c r="M205"/>
      <c r="N205"/>
      <c r="O205"/>
    </row>
    <row r="206" spans="1:15" x14ac:dyDescent="0.25">
      <c r="L206"/>
      <c r="M206"/>
      <c r="N206"/>
      <c r="O206"/>
    </row>
    <row r="207" spans="1:15" x14ac:dyDescent="0.25">
      <c r="L207"/>
      <c r="M207"/>
      <c r="N207"/>
      <c r="O207"/>
    </row>
    <row r="208" spans="1:15" x14ac:dyDescent="0.25">
      <c r="L208"/>
      <c r="M208"/>
      <c r="N208"/>
      <c r="O208"/>
    </row>
  </sheetData>
  <mergeCells count="20">
    <mergeCell ref="B157:G157"/>
    <mergeCell ref="B158:G158"/>
    <mergeCell ref="B159:G159"/>
    <mergeCell ref="B102:G102"/>
    <mergeCell ref="B103:G103"/>
    <mergeCell ref="B104:G104"/>
    <mergeCell ref="B105:G105"/>
    <mergeCell ref="B155:G155"/>
    <mergeCell ref="B156:G156"/>
    <mergeCell ref="B101:G101"/>
    <mergeCell ref="B2:G2"/>
    <mergeCell ref="B3:G3"/>
    <mergeCell ref="B4:G4"/>
    <mergeCell ref="B5:G5"/>
    <mergeCell ref="B6:G6"/>
    <mergeCell ref="B46:G46"/>
    <mergeCell ref="B47:G47"/>
    <mergeCell ref="B48:G48"/>
    <mergeCell ref="B49:G49"/>
    <mergeCell ref="B50:G50"/>
  </mergeCells>
  <printOptions horizontalCentered="1"/>
  <pageMargins left="0.5" right="0.5" top="0.5" bottom="0.5" header="0.25" footer="0.25"/>
  <pageSetup scale="54" fitToHeight="0" orientation="portrait" r:id="rId1"/>
  <headerFooter scaleWithDoc="0">
    <oddFooter>&amp;C&amp;"Times New Roman,Regular"&amp;10&amp;A
Page &amp;P of &amp;N</oddFooter>
    <evenFooter>&amp;C&amp;"Times New Roman,Regular"&amp;10Page 2 of 3</evenFooter>
    <firstFooter>&amp;C&amp;"Times New Roman,Regular"&amp;10Page 1 of 3</firstFooter>
  </headerFooter>
  <rowBreaks count="4" manualBreakCount="4">
    <brk id="44" max="16383" man="1"/>
    <brk id="99" max="7" man="1"/>
    <brk id="153" max="7" man="1"/>
    <brk id="193" max="9" man="1"/>
  </rowBreaks>
  <customProperties>
    <customPr name="_pios_id" r:id="rId2"/>
  </customPropertie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4AA38-BEF2-4049-A3E0-FBC972514834}">
  <sheetPr>
    <pageSetUpPr fitToPage="1"/>
  </sheetPr>
  <dimension ref="A2:N201"/>
  <sheetViews>
    <sheetView zoomScale="90" zoomScaleNormal="90" workbookViewId="0">
      <selection activeCell="K22" sqref="K22"/>
    </sheetView>
  </sheetViews>
  <sheetFormatPr defaultColWidth="9.28515625" defaultRowHeight="15.75" x14ac:dyDescent="0.25"/>
  <cols>
    <col min="1" max="1" width="5.28515625" style="31" customWidth="1"/>
    <col min="2" max="2" width="89.28515625" style="31" customWidth="1"/>
    <col min="3" max="3" width="10.42578125" style="31" customWidth="1"/>
    <col min="4" max="4" width="1.5703125" style="31" customWidth="1"/>
    <col min="5" max="5" width="16.7109375" style="31" customWidth="1"/>
    <col min="6" max="6" width="1.5703125" style="31" customWidth="1"/>
    <col min="7" max="7" width="51.42578125" style="31" customWidth="1"/>
    <col min="8" max="9" width="5.28515625" style="4" customWidth="1"/>
    <col min="10" max="10" width="11.42578125" style="31" bestFit="1" customWidth="1"/>
    <col min="11" max="11" width="23.42578125" style="31" customWidth="1"/>
    <col min="12" max="12" width="2.140625" style="31" customWidth="1"/>
    <col min="13" max="13" width="19" style="31" customWidth="1"/>
    <col min="14" max="16384" width="9.28515625" style="31"/>
  </cols>
  <sheetData>
    <row r="2" spans="1:14" x14ac:dyDescent="0.25">
      <c r="A2" s="4"/>
      <c r="B2" s="1316" t="s">
        <v>0</v>
      </c>
      <c r="C2" s="1313"/>
      <c r="D2" s="1313"/>
      <c r="E2" s="1313"/>
      <c r="F2" s="1313"/>
      <c r="G2" s="1313"/>
    </row>
    <row r="3" spans="1:14" x14ac:dyDescent="0.25">
      <c r="A3" s="4" t="s">
        <v>1</v>
      </c>
      <c r="B3" s="1316" t="s">
        <v>2</v>
      </c>
      <c r="C3" s="1313"/>
      <c r="D3" s="1313"/>
      <c r="E3" s="1313"/>
      <c r="F3" s="1313"/>
      <c r="G3" s="1313"/>
    </row>
    <row r="4" spans="1:14" ht="17.25" x14ac:dyDescent="0.25">
      <c r="A4" s="4"/>
      <c r="B4" s="1316" t="s">
        <v>1988</v>
      </c>
      <c r="C4" s="1317"/>
      <c r="D4" s="1317"/>
      <c r="E4" s="1317"/>
      <c r="F4" s="1317"/>
      <c r="G4" s="1317"/>
    </row>
    <row r="5" spans="1:14" x14ac:dyDescent="0.25">
      <c r="A5" s="4"/>
      <c r="B5" s="1314" t="s">
        <v>2099</v>
      </c>
      <c r="C5" s="1314"/>
      <c r="D5" s="1314"/>
      <c r="E5" s="1314"/>
      <c r="F5" s="1314"/>
      <c r="G5" s="1314"/>
    </row>
    <row r="6" spans="1:14" x14ac:dyDescent="0.25">
      <c r="A6" s="4"/>
      <c r="B6" s="1312" t="s">
        <v>4</v>
      </c>
      <c r="C6" s="1313"/>
      <c r="D6" s="1313"/>
      <c r="E6" s="1313"/>
      <c r="F6" s="1313"/>
      <c r="G6" s="1313"/>
    </row>
    <row r="7" spans="1:14" x14ac:dyDescent="0.25">
      <c r="A7" s="4"/>
      <c r="B7" s="261"/>
      <c r="C7" s="1"/>
      <c r="D7" s="1"/>
      <c r="E7" s="1"/>
      <c r="F7" s="1"/>
      <c r="G7" s="1"/>
    </row>
    <row r="8" spans="1:14" x14ac:dyDescent="0.25">
      <c r="A8" s="4" t="s">
        <v>5</v>
      </c>
      <c r="E8" s="25"/>
      <c r="G8" s="4"/>
      <c r="H8" s="4" t="s">
        <v>5</v>
      </c>
      <c r="K8"/>
      <c r="L8"/>
      <c r="M8"/>
      <c r="N8"/>
    </row>
    <row r="9" spans="1:14" ht="15.75" customHeight="1" x14ac:dyDescent="0.25">
      <c r="A9" s="4" t="s">
        <v>6</v>
      </c>
      <c r="B9" s="1" t="s">
        <v>1</v>
      </c>
      <c r="E9" s="907" t="s">
        <v>7</v>
      </c>
      <c r="G9" s="848" t="s">
        <v>8</v>
      </c>
      <c r="H9" s="4" t="s">
        <v>6</v>
      </c>
      <c r="K9"/>
      <c r="L9"/>
      <c r="M9"/>
      <c r="N9"/>
    </row>
    <row r="10" spans="1:14" ht="17.25" x14ac:dyDescent="0.25">
      <c r="A10" s="4"/>
      <c r="B10" s="247" t="s">
        <v>1989</v>
      </c>
      <c r="E10" s="46"/>
      <c r="G10" s="4"/>
      <c r="K10"/>
      <c r="L10"/>
      <c r="M10"/>
      <c r="N10"/>
    </row>
    <row r="11" spans="1:14" x14ac:dyDescent="0.25">
      <c r="A11" s="4">
        <v>1</v>
      </c>
      <c r="B11" s="32" t="s">
        <v>10</v>
      </c>
      <c r="C11" s="257"/>
      <c r="D11" s="257"/>
      <c r="E11" s="7">
        <f>'Stmt AH'!E15</f>
        <v>101983.30953072449</v>
      </c>
      <c r="G11" s="4" t="s">
        <v>1501</v>
      </c>
      <c r="H11" s="4">
        <f>A11</f>
        <v>1</v>
      </c>
      <c r="J11" s="32"/>
      <c r="K11"/>
      <c r="L11"/>
      <c r="M11"/>
      <c r="N11"/>
    </row>
    <row r="12" spans="1:14" x14ac:dyDescent="0.25">
      <c r="A12" s="4">
        <f t="shared" ref="A12:A41" si="0">A11+1</f>
        <v>2</v>
      </c>
      <c r="B12" s="32" t="s">
        <v>1</v>
      </c>
      <c r="C12" s="257"/>
      <c r="D12" s="257"/>
      <c r="E12" s="8" t="s">
        <v>1</v>
      </c>
      <c r="G12" s="4"/>
      <c r="H12" s="4">
        <f t="shared" ref="H12:H41" si="1">H11+1</f>
        <v>2</v>
      </c>
      <c r="J12" s="32"/>
      <c r="K12"/>
      <c r="L12"/>
      <c r="M12"/>
      <c r="N12"/>
    </row>
    <row r="13" spans="1:14" x14ac:dyDescent="0.25">
      <c r="A13" s="4">
        <f t="shared" si="0"/>
        <v>3</v>
      </c>
      <c r="B13" s="32" t="s">
        <v>11</v>
      </c>
      <c r="C13" s="257"/>
      <c r="D13" s="257"/>
      <c r="E13" s="9">
        <f>'Stmt AH'!E30</f>
        <v>109183.36904379862</v>
      </c>
      <c r="F13" s="1"/>
      <c r="G13" s="4" t="s">
        <v>1698</v>
      </c>
      <c r="H13" s="4">
        <f t="shared" si="1"/>
        <v>3</v>
      </c>
      <c r="J13" s="32"/>
      <c r="K13"/>
      <c r="L13"/>
      <c r="M13"/>
      <c r="N13"/>
    </row>
    <row r="14" spans="1:14" x14ac:dyDescent="0.25">
      <c r="A14" s="4">
        <f t="shared" si="0"/>
        <v>4</v>
      </c>
      <c r="B14" s="32"/>
      <c r="C14" s="257"/>
      <c r="D14" s="257"/>
      <c r="E14" s="8"/>
      <c r="F14" s="1"/>
      <c r="G14" s="4"/>
      <c r="H14" s="4">
        <f t="shared" si="1"/>
        <v>4</v>
      </c>
      <c r="K14"/>
      <c r="L14"/>
      <c r="M14"/>
      <c r="N14"/>
    </row>
    <row r="15" spans="1:14" x14ac:dyDescent="0.25">
      <c r="A15" s="4">
        <f t="shared" si="0"/>
        <v>5</v>
      </c>
      <c r="B15" s="32" t="s">
        <v>12</v>
      </c>
      <c r="C15" s="257"/>
      <c r="D15" s="257"/>
      <c r="E15" s="841">
        <f>-'Stmt AH'!E20</f>
        <v>0</v>
      </c>
      <c r="G15" s="4" t="s">
        <v>1502</v>
      </c>
      <c r="H15" s="4">
        <f t="shared" si="1"/>
        <v>5</v>
      </c>
      <c r="K15"/>
      <c r="L15"/>
      <c r="M15"/>
      <c r="N15"/>
    </row>
    <row r="16" spans="1:14" x14ac:dyDescent="0.25">
      <c r="A16" s="4">
        <f t="shared" si="0"/>
        <v>6</v>
      </c>
      <c r="B16" s="32" t="s">
        <v>13</v>
      </c>
      <c r="C16" s="257"/>
      <c r="D16" s="257"/>
      <c r="E16" s="1106">
        <f>E11+E13+E15</f>
        <v>211166.67857452313</v>
      </c>
      <c r="F16" s="1"/>
      <c r="G16" s="4" t="s">
        <v>14</v>
      </c>
      <c r="H16" s="4">
        <f t="shared" si="1"/>
        <v>6</v>
      </c>
      <c r="J16" s="4"/>
      <c r="K16"/>
      <c r="L16"/>
      <c r="M16"/>
      <c r="N16"/>
    </row>
    <row r="17" spans="1:14" x14ac:dyDescent="0.25">
      <c r="A17" s="4">
        <f t="shared" si="0"/>
        <v>7</v>
      </c>
      <c r="E17" s="6"/>
      <c r="G17" s="4"/>
      <c r="H17" s="4">
        <f t="shared" si="1"/>
        <v>7</v>
      </c>
      <c r="K17"/>
      <c r="L17"/>
      <c r="M17"/>
      <c r="N17"/>
    </row>
    <row r="18" spans="1:14" x14ac:dyDescent="0.25">
      <c r="A18" s="4">
        <f t="shared" si="0"/>
        <v>8</v>
      </c>
      <c r="B18" s="31" t="s">
        <v>15</v>
      </c>
      <c r="C18" s="257"/>
      <c r="D18" s="257"/>
      <c r="E18" s="1107">
        <f>'Stmt AJ'!E27</f>
        <v>305647.17753920035</v>
      </c>
      <c r="F18" s="71"/>
      <c r="G18" s="4" t="s">
        <v>16</v>
      </c>
      <c r="H18" s="4">
        <f t="shared" si="1"/>
        <v>8</v>
      </c>
      <c r="K18"/>
      <c r="L18"/>
      <c r="M18"/>
      <c r="N18"/>
    </row>
    <row r="19" spans="1:14" x14ac:dyDescent="0.25">
      <c r="A19" s="4">
        <f t="shared" si="0"/>
        <v>9</v>
      </c>
      <c r="E19" s="11" t="s">
        <v>1</v>
      </c>
      <c r="G19" s="4"/>
      <c r="H19" s="4">
        <f t="shared" si="1"/>
        <v>9</v>
      </c>
      <c r="K19"/>
      <c r="L19"/>
      <c r="M19"/>
      <c r="N19"/>
    </row>
    <row r="20" spans="1:14" ht="18.75" x14ac:dyDescent="0.25">
      <c r="A20" s="4">
        <f t="shared" si="0"/>
        <v>10</v>
      </c>
      <c r="B20" s="31" t="s">
        <v>17</v>
      </c>
      <c r="E20" s="12">
        <f>'Stmt AJ'!E33</f>
        <v>0</v>
      </c>
      <c r="G20" s="4" t="s">
        <v>18</v>
      </c>
      <c r="H20" s="4">
        <f t="shared" si="1"/>
        <v>10</v>
      </c>
      <c r="J20" s="32"/>
      <c r="K20"/>
      <c r="L20"/>
      <c r="M20"/>
      <c r="N20"/>
    </row>
    <row r="21" spans="1:14" x14ac:dyDescent="0.25">
      <c r="A21" s="4">
        <f t="shared" si="0"/>
        <v>11</v>
      </c>
      <c r="E21" s="11"/>
      <c r="G21" s="4"/>
      <c r="H21" s="4">
        <f t="shared" si="1"/>
        <v>11</v>
      </c>
      <c r="K21"/>
      <c r="L21"/>
      <c r="M21"/>
      <c r="N21"/>
    </row>
    <row r="22" spans="1:14" x14ac:dyDescent="0.25">
      <c r="A22" s="4">
        <f t="shared" si="0"/>
        <v>12</v>
      </c>
      <c r="B22" s="31" t="s">
        <v>19</v>
      </c>
      <c r="C22" s="257"/>
      <c r="D22" s="257"/>
      <c r="E22" s="9">
        <f>'Stmt AK'!E15</f>
        <v>82985.6869188243</v>
      </c>
      <c r="F22" s="1"/>
      <c r="G22" s="4" t="s">
        <v>1649</v>
      </c>
      <c r="H22" s="4">
        <f t="shared" si="1"/>
        <v>12</v>
      </c>
      <c r="J22" s="32"/>
      <c r="K22"/>
      <c r="L22"/>
      <c r="M22"/>
      <c r="N22"/>
    </row>
    <row r="23" spans="1:14" x14ac:dyDescent="0.25">
      <c r="A23" s="4">
        <f t="shared" si="0"/>
        <v>13</v>
      </c>
      <c r="B23" s="32"/>
      <c r="C23" s="257"/>
      <c r="D23" s="257"/>
      <c r="E23" s="8"/>
      <c r="G23" s="4"/>
      <c r="H23" s="4">
        <f t="shared" si="1"/>
        <v>13</v>
      </c>
      <c r="K23"/>
      <c r="L23"/>
      <c r="M23"/>
      <c r="N23"/>
    </row>
    <row r="24" spans="1:14" x14ac:dyDescent="0.25">
      <c r="A24" s="4">
        <f t="shared" si="0"/>
        <v>14</v>
      </c>
      <c r="B24" s="31" t="s">
        <v>20</v>
      </c>
      <c r="C24" s="257"/>
      <c r="D24" s="257"/>
      <c r="E24" s="841">
        <f>'Stmt AK'!E22</f>
        <v>3908.700875770583</v>
      </c>
      <c r="F24" s="1"/>
      <c r="G24" s="4" t="s">
        <v>1648</v>
      </c>
      <c r="H24" s="4">
        <f t="shared" si="1"/>
        <v>14</v>
      </c>
      <c r="J24" s="32"/>
      <c r="K24"/>
      <c r="L24"/>
      <c r="M24"/>
      <c r="N24"/>
    </row>
    <row r="25" spans="1:14" x14ac:dyDescent="0.25">
      <c r="A25" s="4">
        <f t="shared" si="0"/>
        <v>15</v>
      </c>
      <c r="B25" s="32" t="s">
        <v>21</v>
      </c>
      <c r="C25" s="257"/>
      <c r="D25" s="257"/>
      <c r="E25" s="1106">
        <f>SUM(E16+E18+E20+E22+E24)</f>
        <v>603708.24390831834</v>
      </c>
      <c r="F25" s="1"/>
      <c r="G25" s="4" t="s">
        <v>22</v>
      </c>
      <c r="H25" s="4">
        <f t="shared" si="1"/>
        <v>15</v>
      </c>
      <c r="K25"/>
      <c r="L25"/>
      <c r="M25"/>
      <c r="N25"/>
    </row>
    <row r="26" spans="1:14" x14ac:dyDescent="0.25">
      <c r="A26" s="4">
        <f t="shared" si="0"/>
        <v>16</v>
      </c>
      <c r="B26" s="32"/>
      <c r="C26" s="257"/>
      <c r="D26" s="257"/>
      <c r="E26" s="13"/>
      <c r="G26" s="4"/>
      <c r="H26" s="4">
        <f t="shared" si="1"/>
        <v>16</v>
      </c>
      <c r="K26"/>
      <c r="L26"/>
      <c r="M26"/>
      <c r="N26"/>
    </row>
    <row r="27" spans="1:14" ht="18.75" x14ac:dyDescent="0.25">
      <c r="A27" s="4">
        <f t="shared" si="0"/>
        <v>17</v>
      </c>
      <c r="B27" s="32" t="s">
        <v>1579</v>
      </c>
      <c r="C27" s="257"/>
      <c r="D27" s="257"/>
      <c r="E27" s="1166">
        <f>IFERROR('Stmt AV'!F143,0)</f>
        <v>9.6242072833420123E-2</v>
      </c>
      <c r="G27" s="4" t="s">
        <v>1665</v>
      </c>
      <c r="H27" s="4">
        <f t="shared" si="1"/>
        <v>17</v>
      </c>
      <c r="K27"/>
      <c r="L27"/>
      <c r="M27"/>
      <c r="N27"/>
    </row>
    <row r="28" spans="1:14" x14ac:dyDescent="0.25">
      <c r="A28" s="4">
        <f t="shared" si="0"/>
        <v>18</v>
      </c>
      <c r="B28" s="32" t="s">
        <v>23</v>
      </c>
      <c r="C28" s="257"/>
      <c r="D28" s="257"/>
      <c r="E28" s="1167">
        <f>E139</f>
        <v>5651620.4488822836</v>
      </c>
      <c r="G28" s="4" t="s">
        <v>1893</v>
      </c>
      <c r="H28" s="4">
        <f t="shared" si="1"/>
        <v>18</v>
      </c>
      <c r="K28"/>
      <c r="L28"/>
      <c r="M28"/>
      <c r="N28"/>
    </row>
    <row r="29" spans="1:14" x14ac:dyDescent="0.25">
      <c r="A29" s="4">
        <f t="shared" si="0"/>
        <v>19</v>
      </c>
      <c r="B29" s="31" t="s">
        <v>1580</v>
      </c>
      <c r="C29" s="257"/>
      <c r="D29" s="257"/>
      <c r="E29" s="866">
        <f>E27*E28</f>
        <v>543923.66686817526</v>
      </c>
      <c r="G29" s="4" t="s">
        <v>24</v>
      </c>
      <c r="H29" s="4">
        <f t="shared" si="1"/>
        <v>19</v>
      </c>
      <c r="K29"/>
      <c r="L29"/>
      <c r="M29"/>
      <c r="N29"/>
    </row>
    <row r="30" spans="1:14" x14ac:dyDescent="0.25">
      <c r="A30" s="4">
        <f t="shared" si="0"/>
        <v>20</v>
      </c>
      <c r="B30" s="32"/>
      <c r="C30" s="257"/>
      <c r="D30" s="257"/>
      <c r="E30" s="1155"/>
      <c r="G30" s="4"/>
      <c r="H30" s="4">
        <f t="shared" si="1"/>
        <v>20</v>
      </c>
      <c r="K30"/>
      <c r="L30"/>
      <c r="M30"/>
      <c r="N30"/>
    </row>
    <row r="31" spans="1:14" ht="18.75" x14ac:dyDescent="0.25">
      <c r="A31" s="4">
        <f t="shared" si="0"/>
        <v>21</v>
      </c>
      <c r="B31" s="32" t="s">
        <v>1581</v>
      </c>
      <c r="C31" s="257"/>
      <c r="D31" s="257"/>
      <c r="E31" s="1168">
        <f>IFERROR('Stmt AV'!F183,0)</f>
        <v>0</v>
      </c>
      <c r="G31" s="4" t="s">
        <v>1667</v>
      </c>
      <c r="H31" s="4">
        <f t="shared" si="1"/>
        <v>21</v>
      </c>
      <c r="J31" s="35"/>
      <c r="K31"/>
      <c r="L31"/>
      <c r="M31"/>
      <c r="N31"/>
    </row>
    <row r="32" spans="1:14" x14ac:dyDescent="0.25">
      <c r="A32" s="4">
        <f t="shared" si="0"/>
        <v>22</v>
      </c>
      <c r="B32" s="32" t="s">
        <v>23</v>
      </c>
      <c r="C32" s="257"/>
      <c r="D32" s="257"/>
      <c r="E32" s="1167">
        <f>E139-E121</f>
        <v>5651620.4488822836</v>
      </c>
      <c r="G32" s="4" t="s">
        <v>1894</v>
      </c>
      <c r="H32" s="4">
        <f t="shared" si="1"/>
        <v>22</v>
      </c>
      <c r="K32"/>
      <c r="L32"/>
      <c r="M32"/>
      <c r="N32"/>
    </row>
    <row r="33" spans="1:14" x14ac:dyDescent="0.25">
      <c r="A33" s="4">
        <f t="shared" si="0"/>
        <v>23</v>
      </c>
      <c r="B33" s="31" t="s">
        <v>1584</v>
      </c>
      <c r="C33" s="257"/>
      <c r="D33" s="257"/>
      <c r="E33" s="866">
        <f>E31*E32</f>
        <v>0</v>
      </c>
      <c r="G33" s="4" t="s">
        <v>1585</v>
      </c>
      <c r="H33" s="4">
        <f t="shared" si="1"/>
        <v>23</v>
      </c>
      <c r="K33"/>
      <c r="L33"/>
      <c r="M33"/>
      <c r="N33"/>
    </row>
    <row r="34" spans="1:14" x14ac:dyDescent="0.25">
      <c r="A34" s="4">
        <f t="shared" si="0"/>
        <v>24</v>
      </c>
      <c r="C34" s="257"/>
      <c r="D34" s="257"/>
      <c r="E34" s="13"/>
      <c r="G34" s="4"/>
      <c r="H34" s="4">
        <f t="shared" si="1"/>
        <v>24</v>
      </c>
      <c r="K34"/>
      <c r="L34"/>
      <c r="M34"/>
      <c r="N34"/>
    </row>
    <row r="35" spans="1:14" x14ac:dyDescent="0.25">
      <c r="A35" s="4">
        <f t="shared" si="0"/>
        <v>25</v>
      </c>
      <c r="B35" s="31" t="s">
        <v>25</v>
      </c>
      <c r="E35" s="1125">
        <f>'Stmt AQ'!E13</f>
        <v>1304.0991895338727</v>
      </c>
      <c r="G35" s="4" t="s">
        <v>26</v>
      </c>
      <c r="H35" s="4">
        <f t="shared" si="1"/>
        <v>25</v>
      </c>
      <c r="I35" s="357"/>
      <c r="J35" s="32"/>
      <c r="K35"/>
      <c r="L35"/>
      <c r="M35"/>
      <c r="N35"/>
    </row>
    <row r="36" spans="1:14" x14ac:dyDescent="0.25">
      <c r="A36" s="4">
        <f t="shared" si="0"/>
        <v>26</v>
      </c>
      <c r="B36" s="31" t="s">
        <v>27</v>
      </c>
      <c r="E36" s="9">
        <f>'Stmt AU'!E23</f>
        <v>-11869.177</v>
      </c>
      <c r="F36" s="1"/>
      <c r="G36" s="4" t="s">
        <v>28</v>
      </c>
      <c r="H36" s="4">
        <f t="shared" si="1"/>
        <v>26</v>
      </c>
      <c r="I36" s="357"/>
      <c r="J36" s="32"/>
      <c r="K36"/>
      <c r="L36"/>
      <c r="M36"/>
      <c r="N36"/>
    </row>
    <row r="37" spans="1:14" ht="18.75" x14ac:dyDescent="0.25">
      <c r="A37" s="4">
        <f t="shared" si="0"/>
        <v>27</v>
      </c>
      <c r="B37" s="31" t="s">
        <v>1895</v>
      </c>
      <c r="E37" s="855">
        <v>-3000</v>
      </c>
      <c r="G37" s="4" t="s">
        <v>1808</v>
      </c>
      <c r="H37" s="4">
        <f t="shared" si="1"/>
        <v>27</v>
      </c>
      <c r="I37" s="357"/>
      <c r="J37" s="32"/>
      <c r="K37"/>
      <c r="L37"/>
      <c r="M37"/>
      <c r="N37"/>
    </row>
    <row r="38" spans="1:14" x14ac:dyDescent="0.25">
      <c r="A38" s="4">
        <f t="shared" si="0"/>
        <v>28</v>
      </c>
      <c r="B38" s="31" t="s">
        <v>29</v>
      </c>
      <c r="E38" s="9">
        <f>'Stmt Misc.'!E10</f>
        <v>0</v>
      </c>
      <c r="G38" s="4" t="s">
        <v>30</v>
      </c>
      <c r="H38" s="4">
        <f t="shared" si="1"/>
        <v>28</v>
      </c>
      <c r="I38" s="357"/>
      <c r="K38"/>
      <c r="L38"/>
      <c r="M38"/>
      <c r="N38"/>
    </row>
    <row r="39" spans="1:14" x14ac:dyDescent="0.25">
      <c r="A39" s="4">
        <f t="shared" si="0"/>
        <v>29</v>
      </c>
      <c r="B39" s="248" t="s">
        <v>31</v>
      </c>
      <c r="E39" s="841">
        <f>'Stmt AU'!E25</f>
        <v>0</v>
      </c>
      <c r="G39" s="4" t="s">
        <v>32</v>
      </c>
      <c r="H39" s="4">
        <f t="shared" si="1"/>
        <v>29</v>
      </c>
      <c r="I39" s="357"/>
      <c r="J39" s="32"/>
      <c r="K39"/>
      <c r="L39"/>
      <c r="M39"/>
      <c r="N39"/>
    </row>
    <row r="40" spans="1:14" x14ac:dyDescent="0.25">
      <c r="A40" s="4">
        <f t="shared" si="0"/>
        <v>30</v>
      </c>
      <c r="E40" s="11" t="s">
        <v>1</v>
      </c>
      <c r="G40" s="4"/>
      <c r="H40" s="4">
        <f t="shared" si="1"/>
        <v>30</v>
      </c>
      <c r="I40" s="357"/>
      <c r="J40" s="32"/>
      <c r="K40"/>
      <c r="L40"/>
      <c r="M40"/>
      <c r="N40"/>
    </row>
    <row r="41" spans="1:14" ht="19.5" thickBot="1" x14ac:dyDescent="0.3">
      <c r="A41" s="4">
        <f t="shared" si="0"/>
        <v>31</v>
      </c>
      <c r="B41" s="31" t="s">
        <v>1990</v>
      </c>
      <c r="C41" s="257"/>
      <c r="D41" s="257"/>
      <c r="E41" s="14">
        <f>E25+E29+E33+SUM(E35:E39)</f>
        <v>1134066.8329660275</v>
      </c>
      <c r="F41" s="1"/>
      <c r="G41" s="4" t="s">
        <v>1896</v>
      </c>
      <c r="H41" s="4">
        <f t="shared" si="1"/>
        <v>31</v>
      </c>
      <c r="I41" s="357"/>
      <c r="J41" s="32"/>
      <c r="K41"/>
      <c r="L41"/>
      <c r="M41"/>
      <c r="N41"/>
    </row>
    <row r="42" spans="1:14" ht="16.5" thickTop="1" x14ac:dyDescent="0.25">
      <c r="A42" s="4"/>
      <c r="C42" s="257"/>
      <c r="D42" s="257"/>
      <c r="E42" s="15"/>
      <c r="F42" s="1"/>
      <c r="G42" s="4"/>
      <c r="J42" s="32"/>
      <c r="K42"/>
      <c r="L42"/>
      <c r="M42"/>
      <c r="N42"/>
    </row>
    <row r="43" spans="1:14" x14ac:dyDescent="0.25">
      <c r="A43" s="4"/>
      <c r="C43" s="257"/>
      <c r="D43" s="257"/>
      <c r="E43" s="15"/>
      <c r="F43" s="1"/>
      <c r="G43" s="4"/>
      <c r="J43" s="32"/>
      <c r="K43"/>
      <c r="L43"/>
      <c r="M43"/>
      <c r="N43"/>
    </row>
    <row r="44" spans="1:14" ht="18.75" x14ac:dyDescent="0.25">
      <c r="A44" s="252">
        <v>1</v>
      </c>
      <c r="B44" s="31" t="s">
        <v>33</v>
      </c>
      <c r="C44" s="257"/>
      <c r="D44" s="257"/>
      <c r="E44" s="15"/>
      <c r="F44" s="1"/>
      <c r="G44" s="4"/>
      <c r="J44" s="1114"/>
      <c r="K44"/>
      <c r="L44"/>
      <c r="M44"/>
      <c r="N44"/>
    </row>
    <row r="45" spans="1:14" ht="18.75" x14ac:dyDescent="0.25">
      <c r="A45" s="252"/>
      <c r="C45" s="257"/>
      <c r="D45" s="257"/>
      <c r="E45" s="15"/>
      <c r="F45" s="1"/>
      <c r="G45" s="4"/>
      <c r="J45" s="32"/>
      <c r="K45"/>
      <c r="L45"/>
      <c r="M45"/>
      <c r="N45"/>
    </row>
    <row r="46" spans="1:14" x14ac:dyDescent="0.25">
      <c r="A46" s="4"/>
      <c r="C46" s="257"/>
      <c r="D46" s="257"/>
      <c r="E46" s="15"/>
      <c r="F46" s="1"/>
      <c r="G46" s="4"/>
      <c r="J46" s="32"/>
      <c r="K46"/>
      <c r="L46"/>
      <c r="M46"/>
      <c r="N46"/>
    </row>
    <row r="47" spans="1:14" x14ac:dyDescent="0.25">
      <c r="A47" s="4"/>
      <c r="B47" s="1316" t="s">
        <v>0</v>
      </c>
      <c r="C47" s="1313"/>
      <c r="D47" s="1313"/>
      <c r="E47" s="1313"/>
      <c r="F47" s="1313"/>
      <c r="G47" s="1313"/>
      <c r="J47" s="32"/>
      <c r="K47"/>
      <c r="L47"/>
      <c r="M47"/>
      <c r="N47"/>
    </row>
    <row r="48" spans="1:14" x14ac:dyDescent="0.25">
      <c r="A48" s="4"/>
      <c r="B48" s="1316" t="s">
        <v>2</v>
      </c>
      <c r="C48" s="1313"/>
      <c r="D48" s="1313"/>
      <c r="E48" s="1313"/>
      <c r="F48" s="1313"/>
      <c r="G48" s="1313"/>
      <c r="J48" s="32"/>
      <c r="K48"/>
      <c r="L48"/>
      <c r="M48"/>
      <c r="N48"/>
    </row>
    <row r="49" spans="1:14" ht="17.25" x14ac:dyDescent="0.25">
      <c r="A49" s="4"/>
      <c r="B49" s="1316" t="s">
        <v>1988</v>
      </c>
      <c r="C49" s="1317"/>
      <c r="D49" s="1317"/>
      <c r="E49" s="1317"/>
      <c r="F49" s="1317"/>
      <c r="G49" s="1317"/>
      <c r="J49" s="32"/>
      <c r="K49"/>
      <c r="L49"/>
      <c r="M49"/>
      <c r="N49"/>
    </row>
    <row r="50" spans="1:14" x14ac:dyDescent="0.25">
      <c r="A50" s="4"/>
      <c r="B50" s="1318" t="str">
        <f>B5</f>
        <v>For the Base Period &amp; True-Up Period Ending December 31, 2025</v>
      </c>
      <c r="C50" s="1319"/>
      <c r="D50" s="1319"/>
      <c r="E50" s="1319"/>
      <c r="F50" s="1319"/>
      <c r="G50" s="1319"/>
      <c r="J50" s="32"/>
      <c r="K50"/>
      <c r="L50"/>
      <c r="M50"/>
      <c r="N50"/>
    </row>
    <row r="51" spans="1:14" x14ac:dyDescent="0.25">
      <c r="A51" s="4"/>
      <c r="B51" s="1312" t="s">
        <v>4</v>
      </c>
      <c r="C51" s="1313"/>
      <c r="D51" s="1313"/>
      <c r="E51" s="1313"/>
      <c r="F51" s="1313"/>
      <c r="G51" s="1313"/>
      <c r="J51" s="32"/>
      <c r="K51"/>
      <c r="L51"/>
      <c r="M51"/>
      <c r="N51"/>
    </row>
    <row r="52" spans="1:14" x14ac:dyDescent="0.25">
      <c r="A52" s="4"/>
      <c r="C52" s="257"/>
      <c r="D52" s="257"/>
      <c r="E52" s="15"/>
      <c r="F52" s="1"/>
      <c r="G52" s="4"/>
      <c r="J52" s="32"/>
      <c r="K52"/>
      <c r="L52"/>
      <c r="M52"/>
      <c r="N52"/>
    </row>
    <row r="53" spans="1:14" x14ac:dyDescent="0.25">
      <c r="A53" s="4" t="s">
        <v>5</v>
      </c>
      <c r="E53" s="25"/>
      <c r="G53" s="4"/>
      <c r="H53" s="4" t="s">
        <v>5</v>
      </c>
      <c r="J53" s="32"/>
      <c r="K53"/>
      <c r="L53"/>
      <c r="M53"/>
      <c r="N53"/>
    </row>
    <row r="54" spans="1:14" x14ac:dyDescent="0.25">
      <c r="A54" s="4" t="s">
        <v>6</v>
      </c>
      <c r="B54" s="1" t="s">
        <v>1</v>
      </c>
      <c r="E54" s="907" t="s">
        <v>7</v>
      </c>
      <c r="G54" s="848" t="s">
        <v>8</v>
      </c>
      <c r="H54" s="4" t="s">
        <v>6</v>
      </c>
      <c r="J54" s="32"/>
      <c r="K54"/>
      <c r="L54"/>
      <c r="M54"/>
      <c r="N54"/>
    </row>
    <row r="55" spans="1:14" ht="18.75" x14ac:dyDescent="0.25">
      <c r="A55" s="4"/>
      <c r="B55" s="247" t="s">
        <v>1991</v>
      </c>
      <c r="E55" s="4"/>
      <c r="G55" s="4"/>
      <c r="J55" s="32"/>
      <c r="K55"/>
      <c r="L55"/>
      <c r="M55"/>
      <c r="N55"/>
    </row>
    <row r="56" spans="1:14" x14ac:dyDescent="0.25">
      <c r="A56" s="4">
        <v>1</v>
      </c>
      <c r="B56" s="32" t="s">
        <v>35</v>
      </c>
      <c r="C56" s="257"/>
      <c r="D56" s="257"/>
      <c r="E56" s="16">
        <f>'Stmt AJ'!E29</f>
        <v>0</v>
      </c>
      <c r="G56" s="4" t="s">
        <v>36</v>
      </c>
      <c r="H56" s="4">
        <f>A56</f>
        <v>1</v>
      </c>
      <c r="J56" s="32"/>
      <c r="K56"/>
      <c r="L56"/>
      <c r="M56"/>
      <c r="N56"/>
    </row>
    <row r="57" spans="1:14" x14ac:dyDescent="0.25">
      <c r="A57" s="4">
        <f t="shared" ref="A57:A94" si="2">A56+1</f>
        <v>2</v>
      </c>
      <c r="B57" s="32"/>
      <c r="C57" s="257"/>
      <c r="D57" s="257"/>
      <c r="E57" s="15"/>
      <c r="G57" s="4"/>
      <c r="H57" s="4">
        <f t="shared" ref="H57:H94" si="3">H56+1</f>
        <v>2</v>
      </c>
      <c r="K57"/>
      <c r="L57"/>
      <c r="M57"/>
      <c r="N57"/>
    </row>
    <row r="58" spans="1:14" ht="18.75" x14ac:dyDescent="0.25">
      <c r="A58" s="4">
        <f t="shared" si="2"/>
        <v>3</v>
      </c>
      <c r="B58" s="32" t="s">
        <v>1586</v>
      </c>
      <c r="C58" s="257"/>
      <c r="D58" s="257"/>
      <c r="E58" s="1169">
        <f>IFERROR('Stmt AV'!F232,0)</f>
        <v>1.9329787401339494E-2</v>
      </c>
      <c r="G58" s="4" t="s">
        <v>1668</v>
      </c>
      <c r="H58" s="4">
        <f t="shared" si="3"/>
        <v>3</v>
      </c>
      <c r="K58"/>
      <c r="L58"/>
      <c r="M58"/>
      <c r="N58"/>
    </row>
    <row r="59" spans="1:14" x14ac:dyDescent="0.25">
      <c r="A59" s="4">
        <f t="shared" si="2"/>
        <v>4</v>
      </c>
      <c r="B59" s="31" t="s">
        <v>1588</v>
      </c>
      <c r="C59" s="257"/>
      <c r="D59" s="257"/>
      <c r="E59" s="1170">
        <f>E144</f>
        <v>0</v>
      </c>
      <c r="G59" s="4" t="s">
        <v>1897</v>
      </c>
      <c r="H59" s="4">
        <f t="shared" si="3"/>
        <v>4</v>
      </c>
      <c r="K59"/>
      <c r="L59"/>
      <c r="M59"/>
      <c r="N59"/>
    </row>
    <row r="60" spans="1:14" x14ac:dyDescent="0.25">
      <c r="A60" s="4">
        <f t="shared" si="2"/>
        <v>5</v>
      </c>
      <c r="B60" s="31" t="s">
        <v>1590</v>
      </c>
      <c r="C60" s="257"/>
      <c r="D60" s="257"/>
      <c r="E60" s="1187">
        <f>E58*E59</f>
        <v>0</v>
      </c>
      <c r="G60" s="4" t="s">
        <v>1591</v>
      </c>
      <c r="H60" s="4">
        <f t="shared" si="3"/>
        <v>5</v>
      </c>
      <c r="K60"/>
      <c r="L60"/>
      <c r="M60"/>
      <c r="N60"/>
    </row>
    <row r="61" spans="1:14" x14ac:dyDescent="0.25">
      <c r="A61" s="4">
        <f t="shared" si="2"/>
        <v>6</v>
      </c>
      <c r="C61" s="257"/>
      <c r="D61" s="257"/>
      <c r="E61" s="1171"/>
      <c r="G61" s="4"/>
      <c r="H61" s="4">
        <f t="shared" si="3"/>
        <v>6</v>
      </c>
      <c r="K61"/>
      <c r="L61"/>
      <c r="M61"/>
      <c r="N61"/>
    </row>
    <row r="62" spans="1:14" ht="18.75" x14ac:dyDescent="0.25">
      <c r="A62" s="4">
        <f t="shared" si="2"/>
        <v>7</v>
      </c>
      <c r="B62" s="32" t="s">
        <v>1581</v>
      </c>
      <c r="C62" s="257"/>
      <c r="D62" s="257"/>
      <c r="E62" s="1169">
        <f>IFERROR('Stmt AV'!F272,0)</f>
        <v>0</v>
      </c>
      <c r="G62" s="4" t="s">
        <v>1678</v>
      </c>
      <c r="H62" s="4">
        <f t="shared" si="3"/>
        <v>7</v>
      </c>
      <c r="K62"/>
      <c r="L62"/>
      <c r="M62"/>
      <c r="N62"/>
    </row>
    <row r="63" spans="1:14" x14ac:dyDescent="0.25">
      <c r="A63" s="4">
        <f t="shared" si="2"/>
        <v>8</v>
      </c>
      <c r="B63" s="31" t="s">
        <v>1588</v>
      </c>
      <c r="C63" s="257"/>
      <c r="D63" s="257"/>
      <c r="E63" s="1177">
        <f>E144</f>
        <v>0</v>
      </c>
      <c r="G63" s="4" t="s">
        <v>1897</v>
      </c>
      <c r="H63" s="4">
        <f t="shared" si="3"/>
        <v>8</v>
      </c>
      <c r="K63"/>
      <c r="L63"/>
      <c r="M63"/>
      <c r="N63"/>
    </row>
    <row r="64" spans="1:14" x14ac:dyDescent="0.25">
      <c r="A64" s="4">
        <f t="shared" si="2"/>
        <v>9</v>
      </c>
      <c r="B64" s="31" t="s">
        <v>1584</v>
      </c>
      <c r="C64" s="257"/>
      <c r="D64" s="257"/>
      <c r="E64" s="1187">
        <f>E62*E63</f>
        <v>0</v>
      </c>
      <c r="G64" s="4" t="s">
        <v>37</v>
      </c>
      <c r="H64" s="4">
        <f t="shared" si="3"/>
        <v>9</v>
      </c>
      <c r="K64"/>
      <c r="L64"/>
      <c r="M64"/>
      <c r="N64"/>
    </row>
    <row r="65" spans="1:14" x14ac:dyDescent="0.25">
      <c r="A65" s="4">
        <f t="shared" si="2"/>
        <v>10</v>
      </c>
      <c r="B65" s="32"/>
      <c r="C65" s="257"/>
      <c r="D65" s="257"/>
      <c r="E65" s="15"/>
      <c r="G65" s="4"/>
      <c r="H65" s="4">
        <f t="shared" si="3"/>
        <v>10</v>
      </c>
      <c r="K65"/>
      <c r="L65"/>
      <c r="M65"/>
      <c r="N65"/>
    </row>
    <row r="66" spans="1:14" ht="16.5" thickBot="1" x14ac:dyDescent="0.3">
      <c r="A66" s="4">
        <f t="shared" si="2"/>
        <v>11</v>
      </c>
      <c r="B66" s="31" t="s">
        <v>1992</v>
      </c>
      <c r="E66" s="24">
        <f>E56+E60+E64</f>
        <v>0</v>
      </c>
      <c r="G66" s="4" t="s">
        <v>1669</v>
      </c>
      <c r="H66" s="4">
        <f t="shared" si="3"/>
        <v>11</v>
      </c>
      <c r="K66"/>
      <c r="L66"/>
      <c r="M66"/>
      <c r="N66"/>
    </row>
    <row r="67" spans="1:14" ht="16.5" thickTop="1" x14ac:dyDescent="0.25">
      <c r="A67" s="4">
        <f t="shared" si="2"/>
        <v>12</v>
      </c>
      <c r="E67" s="10"/>
      <c r="G67" s="4"/>
      <c r="H67" s="4">
        <f t="shared" si="3"/>
        <v>12</v>
      </c>
      <c r="I67" s="357"/>
      <c r="K67"/>
      <c r="L67"/>
      <c r="M67"/>
      <c r="N67"/>
    </row>
    <row r="68" spans="1:14" ht="18.75" x14ac:dyDescent="0.25">
      <c r="A68" s="4">
        <f t="shared" si="2"/>
        <v>13</v>
      </c>
      <c r="B68" s="33" t="s">
        <v>1993</v>
      </c>
      <c r="E68" s="10"/>
      <c r="G68" s="4"/>
      <c r="H68" s="4">
        <f t="shared" si="3"/>
        <v>13</v>
      </c>
      <c r="I68" s="357"/>
      <c r="K68"/>
      <c r="L68"/>
      <c r="M68"/>
      <c r="N68"/>
    </row>
    <row r="69" spans="1:14" x14ac:dyDescent="0.25">
      <c r="A69" s="4">
        <f t="shared" si="2"/>
        <v>14</v>
      </c>
      <c r="B69" s="32" t="s">
        <v>40</v>
      </c>
      <c r="E69" s="7">
        <f>'Stmt AJ'!E31</f>
        <v>0</v>
      </c>
      <c r="G69" s="4" t="s">
        <v>41</v>
      </c>
      <c r="H69" s="4">
        <f t="shared" si="3"/>
        <v>14</v>
      </c>
      <c r="I69" s="357"/>
      <c r="K69"/>
      <c r="L69"/>
      <c r="M69"/>
      <c r="N69"/>
    </row>
    <row r="70" spans="1:14" x14ac:dyDescent="0.25">
      <c r="A70" s="4">
        <f t="shared" si="2"/>
        <v>15</v>
      </c>
      <c r="B70" s="32"/>
      <c r="E70" s="18"/>
      <c r="G70" s="4"/>
      <c r="H70" s="4">
        <f t="shared" si="3"/>
        <v>15</v>
      </c>
      <c r="I70" s="357"/>
      <c r="K70"/>
      <c r="L70"/>
      <c r="M70"/>
      <c r="N70"/>
    </row>
    <row r="71" spans="1:14" x14ac:dyDescent="0.25">
      <c r="A71" s="4">
        <f t="shared" si="2"/>
        <v>16</v>
      </c>
      <c r="B71" s="32" t="s">
        <v>42</v>
      </c>
      <c r="E71" s="7">
        <f>E149</f>
        <v>0</v>
      </c>
      <c r="G71" s="4" t="s">
        <v>1898</v>
      </c>
      <c r="H71" s="4">
        <f t="shared" si="3"/>
        <v>16</v>
      </c>
      <c r="I71" s="357"/>
      <c r="K71"/>
      <c r="L71"/>
      <c r="M71"/>
      <c r="N71"/>
    </row>
    <row r="72" spans="1:14" ht="18.75" x14ac:dyDescent="0.25">
      <c r="A72" s="4">
        <f t="shared" si="2"/>
        <v>17</v>
      </c>
      <c r="B72" s="32" t="s">
        <v>1670</v>
      </c>
      <c r="E72" s="1146">
        <f>IFERROR('Stmt AV'!F143,0)</f>
        <v>9.6242072833420123E-2</v>
      </c>
      <c r="G72" s="4" t="s">
        <v>1665</v>
      </c>
      <c r="H72" s="4">
        <f t="shared" si="3"/>
        <v>17</v>
      </c>
      <c r="I72" s="357"/>
      <c r="J72" s="600"/>
      <c r="K72"/>
      <c r="L72"/>
      <c r="M72"/>
      <c r="N72"/>
    </row>
    <row r="73" spans="1:14" x14ac:dyDescent="0.25">
      <c r="A73" s="4">
        <f t="shared" si="2"/>
        <v>18</v>
      </c>
      <c r="B73" s="31" t="s">
        <v>1594</v>
      </c>
      <c r="E73" s="1188">
        <f>E71*E72</f>
        <v>0</v>
      </c>
      <c r="G73" s="4" t="s">
        <v>1595</v>
      </c>
      <c r="H73" s="4">
        <f t="shared" si="3"/>
        <v>18</v>
      </c>
      <c r="I73" s="357"/>
      <c r="J73" s="600"/>
      <c r="K73"/>
      <c r="L73"/>
      <c r="M73"/>
      <c r="N73"/>
    </row>
    <row r="74" spans="1:14" x14ac:dyDescent="0.25">
      <c r="A74" s="4">
        <f t="shared" si="2"/>
        <v>19</v>
      </c>
      <c r="E74" s="1172"/>
      <c r="G74" s="4"/>
      <c r="H74" s="4">
        <f t="shared" si="3"/>
        <v>19</v>
      </c>
      <c r="I74" s="357"/>
      <c r="J74" s="600"/>
      <c r="K74"/>
      <c r="L74"/>
      <c r="M74"/>
      <c r="N74"/>
    </row>
    <row r="75" spans="1:14" x14ac:dyDescent="0.25">
      <c r="A75" s="4">
        <f t="shared" si="2"/>
        <v>20</v>
      </c>
      <c r="B75" s="32" t="s">
        <v>42</v>
      </c>
      <c r="E75" s="1172">
        <f>E149</f>
        <v>0</v>
      </c>
      <c r="G75" s="4" t="s">
        <v>1898</v>
      </c>
      <c r="H75" s="4">
        <f t="shared" si="3"/>
        <v>20</v>
      </c>
      <c r="I75" s="357"/>
      <c r="J75" s="600"/>
      <c r="K75"/>
      <c r="L75"/>
      <c r="M75"/>
      <c r="N75"/>
    </row>
    <row r="76" spans="1:14" ht="18.75" x14ac:dyDescent="0.25">
      <c r="A76" s="4">
        <f t="shared" si="2"/>
        <v>21</v>
      </c>
      <c r="B76" s="32" t="s">
        <v>1581</v>
      </c>
      <c r="E76" s="1173">
        <v>0</v>
      </c>
      <c r="G76" s="4" t="s">
        <v>44</v>
      </c>
      <c r="H76" s="4">
        <f t="shared" si="3"/>
        <v>21</v>
      </c>
      <c r="I76" s="357"/>
      <c r="J76" s="600"/>
      <c r="K76"/>
      <c r="L76"/>
      <c r="M76"/>
      <c r="N76"/>
    </row>
    <row r="77" spans="1:14" x14ac:dyDescent="0.25">
      <c r="A77" s="4">
        <f t="shared" si="2"/>
        <v>22</v>
      </c>
      <c r="B77" s="31" t="s">
        <v>1596</v>
      </c>
      <c r="E77" s="1188">
        <f>E75*E76</f>
        <v>0</v>
      </c>
      <c r="G77" s="4" t="s">
        <v>1597</v>
      </c>
      <c r="H77" s="4">
        <f t="shared" si="3"/>
        <v>22</v>
      </c>
      <c r="I77" s="357"/>
      <c r="J77" s="600"/>
      <c r="K77"/>
      <c r="L77"/>
      <c r="M77"/>
      <c r="N77"/>
    </row>
    <row r="78" spans="1:14" x14ac:dyDescent="0.25">
      <c r="A78" s="4">
        <f t="shared" si="2"/>
        <v>23</v>
      </c>
      <c r="E78" s="1172"/>
      <c r="G78" s="4"/>
      <c r="H78" s="4">
        <f t="shared" si="3"/>
        <v>23</v>
      </c>
      <c r="I78" s="357"/>
      <c r="J78" s="600"/>
      <c r="K78"/>
      <c r="L78"/>
      <c r="M78"/>
      <c r="N78"/>
    </row>
    <row r="79" spans="1:14" ht="16.5" thickBot="1" x14ac:dyDescent="0.3">
      <c r="A79" s="4">
        <f t="shared" si="2"/>
        <v>24</v>
      </c>
      <c r="B79" s="31" t="s">
        <v>1994</v>
      </c>
      <c r="E79" s="24">
        <f>E69+E73+E77</f>
        <v>0</v>
      </c>
      <c r="G79" s="4" t="s">
        <v>1598</v>
      </c>
      <c r="H79" s="4">
        <f t="shared" si="3"/>
        <v>24</v>
      </c>
      <c r="I79" s="357"/>
      <c r="K79"/>
      <c r="L79"/>
      <c r="M79"/>
      <c r="N79"/>
    </row>
    <row r="80" spans="1:14" ht="16.5" thickTop="1" x14ac:dyDescent="0.25">
      <c r="A80" s="4">
        <f t="shared" si="2"/>
        <v>25</v>
      </c>
      <c r="E80" s="10"/>
      <c r="G80" s="4"/>
      <c r="H80" s="4">
        <f t="shared" si="3"/>
        <v>25</v>
      </c>
      <c r="I80" s="357"/>
      <c r="K80"/>
      <c r="L80"/>
      <c r="M80"/>
      <c r="N80"/>
    </row>
    <row r="81" spans="1:14" ht="18.75" x14ac:dyDescent="0.25">
      <c r="A81" s="4">
        <f t="shared" si="2"/>
        <v>26</v>
      </c>
      <c r="B81" s="33" t="s">
        <v>1995</v>
      </c>
      <c r="C81" s="257"/>
      <c r="D81" s="257"/>
      <c r="E81" s="15"/>
      <c r="G81" s="4"/>
      <c r="H81" s="4">
        <f t="shared" si="3"/>
        <v>26</v>
      </c>
      <c r="I81" s="357"/>
      <c r="K81"/>
      <c r="L81"/>
      <c r="M81"/>
      <c r="N81"/>
    </row>
    <row r="82" spans="1:14" x14ac:dyDescent="0.25">
      <c r="A82" s="4">
        <f t="shared" si="2"/>
        <v>27</v>
      </c>
      <c r="B82" s="31" t="s">
        <v>47</v>
      </c>
      <c r="C82" s="257"/>
      <c r="D82" s="257"/>
      <c r="E82" s="16">
        <f>E151</f>
        <v>0</v>
      </c>
      <c r="G82" s="4" t="s">
        <v>1899</v>
      </c>
      <c r="H82" s="4">
        <f t="shared" si="3"/>
        <v>27</v>
      </c>
      <c r="I82" s="357"/>
      <c r="K82"/>
      <c r="L82"/>
      <c r="M82"/>
      <c r="N82"/>
    </row>
    <row r="83" spans="1:14" ht="18.75" x14ac:dyDescent="0.25">
      <c r="A83" s="4">
        <f t="shared" si="2"/>
        <v>28</v>
      </c>
      <c r="B83" s="32" t="s">
        <v>1670</v>
      </c>
      <c r="E83" s="1146">
        <f>IFERROR('Stmt AV'!F143,0)</f>
        <v>9.6242072833420123E-2</v>
      </c>
      <c r="G83" s="4" t="s">
        <v>1665</v>
      </c>
      <c r="H83" s="4">
        <f t="shared" si="3"/>
        <v>28</v>
      </c>
      <c r="I83" s="357"/>
      <c r="K83"/>
      <c r="L83"/>
      <c r="M83"/>
      <c r="N83"/>
    </row>
    <row r="84" spans="1:14" ht="16.5" thickBot="1" x14ac:dyDescent="0.3">
      <c r="A84" s="4">
        <f t="shared" si="2"/>
        <v>29</v>
      </c>
      <c r="B84" s="31" t="s">
        <v>1599</v>
      </c>
      <c r="E84" s="1189">
        <f>E82*E83</f>
        <v>0</v>
      </c>
      <c r="G84" s="4" t="s">
        <v>1600</v>
      </c>
      <c r="H84" s="4">
        <f t="shared" si="3"/>
        <v>29</v>
      </c>
      <c r="I84" s="357"/>
      <c r="K84"/>
      <c r="L84"/>
      <c r="M84"/>
      <c r="N84"/>
    </row>
    <row r="85" spans="1:14" ht="16.5" thickTop="1" x14ac:dyDescent="0.25">
      <c r="A85" s="4">
        <f t="shared" si="2"/>
        <v>30</v>
      </c>
      <c r="E85" s="1172"/>
      <c r="G85" s="4"/>
      <c r="H85" s="4">
        <f t="shared" si="3"/>
        <v>30</v>
      </c>
      <c r="I85" s="357"/>
      <c r="K85"/>
      <c r="L85"/>
      <c r="M85"/>
      <c r="N85"/>
    </row>
    <row r="86" spans="1:14" x14ac:dyDescent="0.25">
      <c r="A86" s="4">
        <f t="shared" si="2"/>
        <v>31</v>
      </c>
      <c r="B86" s="31" t="s">
        <v>47</v>
      </c>
      <c r="E86" s="1174">
        <f>E151</f>
        <v>0</v>
      </c>
      <c r="G86" s="4" t="s">
        <v>1899</v>
      </c>
      <c r="H86" s="4">
        <f t="shared" si="3"/>
        <v>31</v>
      </c>
      <c r="I86" s="357"/>
      <c r="K86"/>
      <c r="L86"/>
      <c r="M86"/>
      <c r="N86"/>
    </row>
    <row r="87" spans="1:14" ht="18.75" x14ac:dyDescent="0.25">
      <c r="A87" s="4">
        <f t="shared" si="2"/>
        <v>32</v>
      </c>
      <c r="B87" s="32" t="s">
        <v>1581</v>
      </c>
      <c r="E87" s="1146">
        <f>IFERROR('Stmt AV'!F183,0)</f>
        <v>0</v>
      </c>
      <c r="G87" s="4" t="s">
        <v>1667</v>
      </c>
      <c r="H87" s="4">
        <f t="shared" si="3"/>
        <v>32</v>
      </c>
      <c r="I87" s="357"/>
      <c r="K87"/>
      <c r="L87"/>
      <c r="M87"/>
      <c r="N87"/>
    </row>
    <row r="88" spans="1:14" x14ac:dyDescent="0.25">
      <c r="A88" s="4">
        <f t="shared" si="2"/>
        <v>33</v>
      </c>
      <c r="B88" s="31" t="s">
        <v>1601</v>
      </c>
      <c r="E88" s="1188">
        <f>E86*E87</f>
        <v>0</v>
      </c>
      <c r="G88" s="4" t="s">
        <v>1602</v>
      </c>
      <c r="H88" s="4">
        <f t="shared" si="3"/>
        <v>33</v>
      </c>
      <c r="I88" s="357"/>
      <c r="K88"/>
      <c r="L88"/>
      <c r="M88"/>
      <c r="N88"/>
    </row>
    <row r="89" spans="1:14" x14ac:dyDescent="0.25">
      <c r="A89" s="4">
        <f t="shared" si="2"/>
        <v>34</v>
      </c>
      <c r="E89" s="1172"/>
      <c r="G89" s="4"/>
      <c r="H89" s="4">
        <f t="shared" si="3"/>
        <v>34</v>
      </c>
      <c r="I89" s="357"/>
      <c r="K89"/>
      <c r="L89"/>
      <c r="M89"/>
      <c r="N89"/>
    </row>
    <row r="90" spans="1:14" ht="16.5" thickBot="1" x14ac:dyDescent="0.3">
      <c r="A90" s="4">
        <f t="shared" si="2"/>
        <v>35</v>
      </c>
      <c r="B90" s="31" t="s">
        <v>1996</v>
      </c>
      <c r="C90" s="257"/>
      <c r="D90" s="257"/>
      <c r="E90" s="14">
        <f>E84+E88</f>
        <v>0</v>
      </c>
      <c r="G90" s="4" t="s">
        <v>1603</v>
      </c>
      <c r="H90" s="4">
        <f t="shared" si="3"/>
        <v>35</v>
      </c>
      <c r="I90" s="357"/>
      <c r="K90"/>
      <c r="L90"/>
      <c r="M90"/>
      <c r="N90"/>
    </row>
    <row r="91" spans="1:14" ht="16.5" thickTop="1" x14ac:dyDescent="0.25">
      <c r="A91" s="4">
        <f t="shared" si="2"/>
        <v>36</v>
      </c>
      <c r="E91" s="1172"/>
      <c r="G91" s="4"/>
      <c r="H91" s="4">
        <f t="shared" si="3"/>
        <v>36</v>
      </c>
      <c r="I91" s="357"/>
      <c r="K91"/>
      <c r="L91"/>
      <c r="M91"/>
      <c r="N91"/>
    </row>
    <row r="92" spans="1:14" ht="19.5" thickBot="1" x14ac:dyDescent="0.3">
      <c r="A92" s="4">
        <f t="shared" si="2"/>
        <v>37</v>
      </c>
      <c r="B92" s="31" t="s">
        <v>1997</v>
      </c>
      <c r="E92" s="14">
        <f>E66+E79+E90</f>
        <v>0</v>
      </c>
      <c r="G92" s="4" t="s">
        <v>1604</v>
      </c>
      <c r="H92" s="4">
        <f t="shared" si="3"/>
        <v>37</v>
      </c>
      <c r="I92" s="357"/>
      <c r="K92"/>
      <c r="L92"/>
      <c r="M92"/>
      <c r="N92"/>
    </row>
    <row r="93" spans="1:14" ht="16.5" thickTop="1" x14ac:dyDescent="0.25">
      <c r="A93" s="4">
        <f t="shared" si="2"/>
        <v>38</v>
      </c>
      <c r="C93" s="257"/>
      <c r="D93" s="257"/>
      <c r="E93" s="15"/>
      <c r="G93" s="4"/>
      <c r="H93" s="4">
        <f t="shared" si="3"/>
        <v>38</v>
      </c>
      <c r="I93" s="357"/>
      <c r="K93"/>
      <c r="L93"/>
      <c r="M93"/>
      <c r="N93"/>
    </row>
    <row r="94" spans="1:14" ht="19.5" thickBot="1" x14ac:dyDescent="0.3">
      <c r="A94" s="4">
        <f t="shared" si="2"/>
        <v>39</v>
      </c>
      <c r="B94" s="33" t="s">
        <v>1643</v>
      </c>
      <c r="C94" s="257"/>
      <c r="D94" s="257"/>
      <c r="E94" s="14">
        <f>+E41+E92</f>
        <v>1134066.8329660275</v>
      </c>
      <c r="F94" s="1"/>
      <c r="G94" s="4" t="s">
        <v>1900</v>
      </c>
      <c r="H94" s="4">
        <f t="shared" si="3"/>
        <v>39</v>
      </c>
      <c r="I94" s="357"/>
      <c r="K94"/>
      <c r="L94"/>
      <c r="M94"/>
      <c r="N94"/>
    </row>
    <row r="95" spans="1:14" ht="16.5" thickTop="1" x14ac:dyDescent="0.25">
      <c r="A95" s="4"/>
      <c r="B95" s="33"/>
      <c r="C95" s="257"/>
      <c r="D95" s="257"/>
      <c r="E95" s="15"/>
      <c r="F95" s="1"/>
      <c r="G95" s="4"/>
      <c r="K95"/>
      <c r="L95"/>
      <c r="M95"/>
      <c r="N95"/>
    </row>
    <row r="96" spans="1:14" x14ac:dyDescent="0.25">
      <c r="A96" s="4"/>
      <c r="B96" s="33"/>
      <c r="C96" s="257"/>
      <c r="D96" s="257"/>
      <c r="E96" s="15"/>
      <c r="F96" s="1"/>
      <c r="G96" s="4"/>
      <c r="K96"/>
      <c r="L96"/>
      <c r="M96"/>
      <c r="N96"/>
    </row>
    <row r="97" spans="1:14" ht="18.75" x14ac:dyDescent="0.25">
      <c r="A97" s="252">
        <v>1</v>
      </c>
      <c r="B97" s="31" t="s">
        <v>33</v>
      </c>
      <c r="C97" s="257"/>
      <c r="D97" s="257"/>
      <c r="E97" s="15"/>
      <c r="G97" s="4"/>
      <c r="K97"/>
      <c r="L97"/>
      <c r="M97"/>
      <c r="N97"/>
    </row>
    <row r="98" spans="1:14" ht="18.75" x14ac:dyDescent="0.25">
      <c r="A98" s="252">
        <v>2</v>
      </c>
      <c r="B98" s="31" t="s">
        <v>52</v>
      </c>
      <c r="C98" s="257"/>
      <c r="D98" s="257"/>
      <c r="E98" s="19"/>
      <c r="F98" s="71"/>
      <c r="G98" s="4"/>
      <c r="K98"/>
      <c r="L98"/>
      <c r="M98"/>
      <c r="N98"/>
    </row>
    <row r="99" spans="1:14" ht="18.75" x14ac:dyDescent="0.25">
      <c r="A99" s="252">
        <v>3</v>
      </c>
      <c r="B99" s="31" t="s">
        <v>1998</v>
      </c>
      <c r="C99" s="257"/>
      <c r="D99" s="257"/>
      <c r="E99" s="19"/>
      <c r="F99" s="71"/>
      <c r="G99" s="4"/>
      <c r="K99"/>
      <c r="L99"/>
      <c r="M99"/>
      <c r="N99"/>
    </row>
    <row r="100" spans="1:14" ht="18.75" x14ac:dyDescent="0.25">
      <c r="A100" s="252">
        <v>4</v>
      </c>
      <c r="B100" s="31" t="s">
        <v>1999</v>
      </c>
      <c r="C100" s="257"/>
      <c r="D100" s="257"/>
      <c r="E100" s="15"/>
      <c r="G100" s="4"/>
      <c r="K100"/>
      <c r="L100"/>
      <c r="M100"/>
      <c r="N100"/>
    </row>
    <row r="101" spans="1:14" x14ac:dyDescent="0.25">
      <c r="C101" s="257"/>
      <c r="D101" s="257"/>
      <c r="E101" s="15"/>
      <c r="G101" s="4"/>
      <c r="K101"/>
      <c r="L101"/>
      <c r="M101"/>
      <c r="N101"/>
    </row>
    <row r="102" spans="1:14" x14ac:dyDescent="0.25">
      <c r="A102" s="4"/>
      <c r="C102" s="257"/>
      <c r="D102" s="257"/>
      <c r="E102" s="15"/>
      <c r="G102" s="4"/>
      <c r="K102"/>
      <c r="L102"/>
      <c r="M102"/>
      <c r="N102"/>
    </row>
    <row r="103" spans="1:14" x14ac:dyDescent="0.25">
      <c r="A103" s="4"/>
      <c r="B103" s="1316" t="s">
        <v>0</v>
      </c>
      <c r="C103" s="1313"/>
      <c r="D103" s="1313"/>
      <c r="E103" s="1313"/>
      <c r="F103" s="1313"/>
      <c r="G103" s="1313"/>
      <c r="K103"/>
      <c r="L103"/>
      <c r="M103"/>
      <c r="N103"/>
    </row>
    <row r="104" spans="1:14" x14ac:dyDescent="0.25">
      <c r="A104" s="4"/>
      <c r="B104" s="1316" t="s">
        <v>2</v>
      </c>
      <c r="C104" s="1313"/>
      <c r="D104" s="1313"/>
      <c r="E104" s="1313"/>
      <c r="F104" s="1313"/>
      <c r="G104" s="1313"/>
      <c r="K104"/>
      <c r="L104"/>
      <c r="M104"/>
      <c r="N104"/>
    </row>
    <row r="105" spans="1:14" ht="17.25" x14ac:dyDescent="0.25">
      <c r="A105" s="4" t="s">
        <v>1</v>
      </c>
      <c r="B105" s="1316" t="s">
        <v>1988</v>
      </c>
      <c r="C105" s="1317"/>
      <c r="D105" s="1317"/>
      <c r="E105" s="1317"/>
      <c r="F105" s="1317"/>
      <c r="G105" s="1317"/>
      <c r="H105" s="4" t="s">
        <v>1</v>
      </c>
      <c r="K105"/>
      <c r="L105"/>
      <c r="M105"/>
      <c r="N105"/>
    </row>
    <row r="106" spans="1:14" x14ac:dyDescent="0.25">
      <c r="A106" s="4"/>
      <c r="B106" s="1318" t="str">
        <f>B5</f>
        <v>For the Base Period &amp; True-Up Period Ending December 31, 2025</v>
      </c>
      <c r="C106" s="1319"/>
      <c r="D106" s="1319"/>
      <c r="E106" s="1319"/>
      <c r="F106" s="1319"/>
      <c r="G106" s="1319"/>
      <c r="K106"/>
      <c r="L106"/>
      <c r="M106"/>
      <c r="N106"/>
    </row>
    <row r="107" spans="1:14" x14ac:dyDescent="0.25">
      <c r="A107" s="4"/>
      <c r="B107" s="1312" t="s">
        <v>4</v>
      </c>
      <c r="C107" s="1313"/>
      <c r="D107" s="1313"/>
      <c r="E107" s="1313"/>
      <c r="F107" s="1313"/>
      <c r="G107" s="1313"/>
      <c r="K107"/>
      <c r="L107"/>
      <c r="M107"/>
      <c r="N107"/>
    </row>
    <row r="108" spans="1:14" x14ac:dyDescent="0.25">
      <c r="A108" s="4"/>
      <c r="B108" s="261"/>
      <c r="C108" s="1"/>
      <c r="D108" s="1"/>
      <c r="E108" s="1"/>
      <c r="F108" s="1"/>
      <c r="G108" s="1"/>
      <c r="K108"/>
      <c r="L108"/>
      <c r="M108"/>
      <c r="N108"/>
    </row>
    <row r="109" spans="1:14" x14ac:dyDescent="0.25">
      <c r="A109" s="4" t="s">
        <v>5</v>
      </c>
      <c r="E109" s="25"/>
      <c r="G109" s="4"/>
      <c r="H109" s="4" t="s">
        <v>5</v>
      </c>
      <c r="K109"/>
      <c r="L109"/>
      <c r="M109"/>
      <c r="N109"/>
    </row>
    <row r="110" spans="1:14" x14ac:dyDescent="0.25">
      <c r="A110" s="4" t="s">
        <v>6</v>
      </c>
      <c r="B110" s="1" t="s">
        <v>1</v>
      </c>
      <c r="E110" s="907" t="s">
        <v>7</v>
      </c>
      <c r="G110" s="848" t="s">
        <v>8</v>
      </c>
      <c r="H110" s="4" t="s">
        <v>6</v>
      </c>
      <c r="K110"/>
      <c r="L110"/>
      <c r="M110"/>
      <c r="N110"/>
    </row>
    <row r="111" spans="1:14" x14ac:dyDescent="0.25">
      <c r="A111" s="4"/>
      <c r="B111" s="247" t="s">
        <v>54</v>
      </c>
      <c r="C111" s="259"/>
      <c r="D111" s="259"/>
      <c r="E111" s="259"/>
      <c r="G111" s="4"/>
      <c r="K111"/>
      <c r="L111"/>
      <c r="M111"/>
      <c r="N111"/>
    </row>
    <row r="112" spans="1:14" x14ac:dyDescent="0.25">
      <c r="A112" s="4">
        <v>1</v>
      </c>
      <c r="B112" s="249" t="s">
        <v>55</v>
      </c>
      <c r="C112" s="259"/>
      <c r="D112" s="259"/>
      <c r="E112" s="259"/>
      <c r="G112" s="4"/>
      <c r="H112" s="4">
        <f>A112</f>
        <v>1</v>
      </c>
      <c r="K112"/>
      <c r="L112"/>
      <c r="M112"/>
      <c r="N112"/>
    </row>
    <row r="113" spans="1:14" x14ac:dyDescent="0.25">
      <c r="A113" s="4">
        <f t="shared" ref="A113:A151" si="4">A112+1</f>
        <v>2</v>
      </c>
      <c r="B113" s="32" t="s">
        <v>56</v>
      </c>
      <c r="C113" s="259"/>
      <c r="D113" s="259"/>
      <c r="E113" s="20">
        <f>E182</f>
        <v>6501749.9737683125</v>
      </c>
      <c r="F113" s="71"/>
      <c r="G113" s="4" t="s">
        <v>57</v>
      </c>
      <c r="H113" s="4">
        <f t="shared" ref="H113:H151" si="5">H112+1</f>
        <v>2</v>
      </c>
      <c r="K113"/>
      <c r="L113"/>
      <c r="M113"/>
      <c r="N113"/>
    </row>
    <row r="114" spans="1:14" x14ac:dyDescent="0.25">
      <c r="A114" s="4">
        <f t="shared" si="4"/>
        <v>3</v>
      </c>
      <c r="B114" s="32" t="s">
        <v>58</v>
      </c>
      <c r="C114" s="259"/>
      <c r="D114" s="259"/>
      <c r="E114" s="21">
        <f>E183</f>
        <v>0</v>
      </c>
      <c r="F114" s="71"/>
      <c r="G114" s="4" t="s">
        <v>59</v>
      </c>
      <c r="H114" s="4">
        <f t="shared" si="5"/>
        <v>3</v>
      </c>
      <c r="K114"/>
      <c r="L114"/>
      <c r="M114"/>
      <c r="N114"/>
    </row>
    <row r="115" spans="1:14" x14ac:dyDescent="0.25">
      <c r="A115" s="4">
        <f t="shared" si="4"/>
        <v>4</v>
      </c>
      <c r="B115" s="32" t="s">
        <v>60</v>
      </c>
      <c r="C115" s="259"/>
      <c r="D115" s="259"/>
      <c r="E115" s="21">
        <f>E184</f>
        <v>27492.603387624411</v>
      </c>
      <c r="G115" s="4" t="s">
        <v>61</v>
      </c>
      <c r="H115" s="4">
        <f t="shared" si="5"/>
        <v>4</v>
      </c>
      <c r="K115"/>
      <c r="L115"/>
      <c r="M115"/>
      <c r="N115"/>
    </row>
    <row r="116" spans="1:14" x14ac:dyDescent="0.25">
      <c r="A116" s="4">
        <f t="shared" si="4"/>
        <v>5</v>
      </c>
      <c r="B116" s="32" t="s">
        <v>62</v>
      </c>
      <c r="C116" s="259"/>
      <c r="D116" s="259"/>
      <c r="E116" s="909">
        <f>E185</f>
        <v>218929.31091609754</v>
      </c>
      <c r="G116" s="4" t="s">
        <v>63</v>
      </c>
      <c r="H116" s="4">
        <f t="shared" si="5"/>
        <v>5</v>
      </c>
      <c r="K116"/>
      <c r="L116"/>
      <c r="M116"/>
      <c r="N116"/>
    </row>
    <row r="117" spans="1:14" x14ac:dyDescent="0.25">
      <c r="A117" s="4">
        <f t="shared" si="4"/>
        <v>6</v>
      </c>
      <c r="B117" s="32" t="s">
        <v>64</v>
      </c>
      <c r="C117" s="4"/>
      <c r="D117" s="4"/>
      <c r="E117" s="910">
        <f>SUM(E113:E116)</f>
        <v>6748171.8880720343</v>
      </c>
      <c r="F117" s="71"/>
      <c r="G117" s="4" t="s">
        <v>65</v>
      </c>
      <c r="H117" s="4">
        <f t="shared" si="5"/>
        <v>6</v>
      </c>
      <c r="K117"/>
      <c r="L117"/>
      <c r="M117"/>
      <c r="N117"/>
    </row>
    <row r="118" spans="1:14" x14ac:dyDescent="0.25">
      <c r="A118" s="4">
        <f t="shared" si="4"/>
        <v>7</v>
      </c>
      <c r="C118" s="4"/>
      <c r="D118" s="4"/>
      <c r="E118" s="11"/>
      <c r="G118" s="4"/>
      <c r="H118" s="4">
        <f t="shared" si="5"/>
        <v>7</v>
      </c>
      <c r="K118"/>
      <c r="L118"/>
      <c r="M118"/>
      <c r="N118"/>
    </row>
    <row r="119" spans="1:14" x14ac:dyDescent="0.25">
      <c r="A119" s="4">
        <f t="shared" si="4"/>
        <v>8</v>
      </c>
      <c r="B119" s="249" t="s">
        <v>66</v>
      </c>
      <c r="C119" s="4"/>
      <c r="D119" s="4"/>
      <c r="E119" s="11"/>
      <c r="G119" s="4"/>
      <c r="H119" s="4">
        <f t="shared" si="5"/>
        <v>8</v>
      </c>
      <c r="K119"/>
      <c r="L119"/>
      <c r="M119"/>
      <c r="N119"/>
    </row>
    <row r="120" spans="1:14" x14ac:dyDescent="0.25">
      <c r="A120" s="4">
        <f t="shared" si="4"/>
        <v>9</v>
      </c>
      <c r="B120" s="32" t="s">
        <v>67</v>
      </c>
      <c r="C120" s="4"/>
      <c r="D120" s="4"/>
      <c r="E120" s="22">
        <f>'Stmt AG'!E11</f>
        <v>2549.5695384615387</v>
      </c>
      <c r="F120" s="71"/>
      <c r="G120" s="4" t="s">
        <v>68</v>
      </c>
      <c r="H120" s="4">
        <f t="shared" si="5"/>
        <v>9</v>
      </c>
      <c r="K120"/>
      <c r="L120"/>
      <c r="M120"/>
      <c r="N120"/>
    </row>
    <row r="121" spans="1:14" x14ac:dyDescent="0.25">
      <c r="A121" s="4">
        <f t="shared" si="4"/>
        <v>10</v>
      </c>
      <c r="B121" s="32" t="s">
        <v>69</v>
      </c>
      <c r="C121" s="4"/>
      <c r="D121" s="4"/>
      <c r="E121" s="1178">
        <f>'Stmt Misc.'!E12</f>
        <v>0</v>
      </c>
      <c r="G121" s="4" t="s">
        <v>70</v>
      </c>
      <c r="H121" s="4">
        <f t="shared" si="5"/>
        <v>10</v>
      </c>
      <c r="K121"/>
      <c r="L121"/>
      <c r="M121"/>
      <c r="N121"/>
    </row>
    <row r="122" spans="1:14" x14ac:dyDescent="0.25">
      <c r="A122" s="4">
        <f t="shared" si="4"/>
        <v>11</v>
      </c>
      <c r="B122" s="32" t="s">
        <v>71</v>
      </c>
      <c r="C122" s="4"/>
      <c r="D122" s="4"/>
      <c r="E122" s="1049">
        <f>SUM(E120:E121)</f>
        <v>2549.5695384615387</v>
      </c>
      <c r="F122" s="71"/>
      <c r="G122" s="4" t="s">
        <v>72</v>
      </c>
      <c r="H122" s="4">
        <f t="shared" si="5"/>
        <v>11</v>
      </c>
      <c r="K122"/>
      <c r="L122"/>
      <c r="M122"/>
      <c r="N122"/>
    </row>
    <row r="123" spans="1:14" x14ac:dyDescent="0.25">
      <c r="A123" s="4">
        <f t="shared" si="4"/>
        <v>12</v>
      </c>
      <c r="B123" s="32"/>
      <c r="C123" s="4"/>
      <c r="D123" s="4"/>
      <c r="E123" s="15"/>
      <c r="G123" s="4"/>
      <c r="H123" s="4">
        <f t="shared" si="5"/>
        <v>12</v>
      </c>
      <c r="K123"/>
      <c r="L123"/>
      <c r="M123"/>
      <c r="N123"/>
    </row>
    <row r="124" spans="1:14" x14ac:dyDescent="0.25">
      <c r="A124" s="4">
        <f t="shared" si="4"/>
        <v>13</v>
      </c>
      <c r="B124" s="249" t="s">
        <v>73</v>
      </c>
      <c r="E124" s="11"/>
      <c r="G124" s="4"/>
      <c r="H124" s="4">
        <f t="shared" si="5"/>
        <v>13</v>
      </c>
      <c r="K124"/>
      <c r="L124"/>
      <c r="M124"/>
      <c r="N124"/>
    </row>
    <row r="125" spans="1:14" ht="18.75" x14ac:dyDescent="0.25">
      <c r="A125" s="4">
        <f t="shared" si="4"/>
        <v>14</v>
      </c>
      <c r="B125" s="31" t="s">
        <v>74</v>
      </c>
      <c r="C125" s="4"/>
      <c r="D125" s="4"/>
      <c r="E125" s="7">
        <f>'Stmt AF'!I17</f>
        <v>-1164763.485273672</v>
      </c>
      <c r="G125" s="4" t="s">
        <v>75</v>
      </c>
      <c r="H125" s="4">
        <f t="shared" si="5"/>
        <v>14</v>
      </c>
      <c r="J125" s="868"/>
      <c r="K125"/>
      <c r="L125"/>
      <c r="M125"/>
      <c r="N125"/>
    </row>
    <row r="126" spans="1:14" x14ac:dyDescent="0.25">
      <c r="A126" s="4">
        <f t="shared" si="4"/>
        <v>15</v>
      </c>
      <c r="B126" s="31" t="s">
        <v>76</v>
      </c>
      <c r="C126" s="4"/>
      <c r="D126" s="4"/>
      <c r="E126" s="841">
        <f>'Stmt AF'!I21</f>
        <v>0</v>
      </c>
      <c r="G126" s="4" t="s">
        <v>77</v>
      </c>
      <c r="H126" s="4">
        <f t="shared" si="5"/>
        <v>15</v>
      </c>
      <c r="K126"/>
      <c r="L126"/>
      <c r="M126"/>
      <c r="N126"/>
    </row>
    <row r="127" spans="1:14" x14ac:dyDescent="0.25">
      <c r="A127" s="4">
        <f t="shared" si="4"/>
        <v>16</v>
      </c>
      <c r="B127" s="32" t="s">
        <v>78</v>
      </c>
      <c r="C127" s="4"/>
      <c r="D127" s="4"/>
      <c r="E127" s="910">
        <f>SUM(E125:E126)</f>
        <v>-1164763.485273672</v>
      </c>
      <c r="G127" s="4" t="s">
        <v>79</v>
      </c>
      <c r="H127" s="4">
        <f t="shared" si="5"/>
        <v>16</v>
      </c>
      <c r="K127"/>
      <c r="L127"/>
      <c r="M127"/>
      <c r="N127"/>
    </row>
    <row r="128" spans="1:14" x14ac:dyDescent="0.25">
      <c r="A128" s="4">
        <f t="shared" si="4"/>
        <v>17</v>
      </c>
      <c r="C128" s="4"/>
      <c r="D128" s="4"/>
      <c r="E128" s="8"/>
      <c r="G128" s="4"/>
      <c r="H128" s="4">
        <f t="shared" si="5"/>
        <v>17</v>
      </c>
      <c r="K128"/>
      <c r="L128"/>
      <c r="M128"/>
      <c r="N128"/>
    </row>
    <row r="129" spans="1:14" x14ac:dyDescent="0.25">
      <c r="A129" s="4">
        <f t="shared" si="4"/>
        <v>18</v>
      </c>
      <c r="B129" s="249" t="s">
        <v>80</v>
      </c>
      <c r="C129" s="4"/>
      <c r="D129" s="4"/>
      <c r="E129" s="8"/>
      <c r="G129" s="4"/>
      <c r="H129" s="4">
        <f t="shared" si="5"/>
        <v>18</v>
      </c>
      <c r="K129"/>
      <c r="L129"/>
      <c r="M129"/>
      <c r="N129"/>
    </row>
    <row r="130" spans="1:14" x14ac:dyDescent="0.25">
      <c r="A130" s="4">
        <f t="shared" si="4"/>
        <v>19</v>
      </c>
      <c r="B130" s="32" t="s">
        <v>81</v>
      </c>
      <c r="C130" s="4"/>
      <c r="D130" s="4"/>
      <c r="E130" s="20">
        <f>'Stmt AL'!G15</f>
        <v>58837.923470927381</v>
      </c>
      <c r="F130" s="71"/>
      <c r="G130" s="4" t="s">
        <v>82</v>
      </c>
      <c r="H130" s="4">
        <f t="shared" si="5"/>
        <v>19</v>
      </c>
      <c r="K130"/>
      <c r="L130"/>
      <c r="M130"/>
      <c r="N130"/>
    </row>
    <row r="131" spans="1:14" x14ac:dyDescent="0.25">
      <c r="A131" s="4">
        <f t="shared" si="4"/>
        <v>20</v>
      </c>
      <c r="B131" s="32" t="s">
        <v>83</v>
      </c>
      <c r="C131" s="4"/>
      <c r="D131" s="4"/>
      <c r="E131" s="21">
        <f>'Stmt AL'!G21</f>
        <v>18487.553538858367</v>
      </c>
      <c r="F131" s="71"/>
      <c r="G131" s="4" t="s">
        <v>1859</v>
      </c>
      <c r="H131" s="4">
        <f t="shared" si="5"/>
        <v>20</v>
      </c>
      <c r="K131"/>
      <c r="L131"/>
      <c r="M131"/>
      <c r="N131"/>
    </row>
    <row r="132" spans="1:14" x14ac:dyDescent="0.25">
      <c r="A132" s="4">
        <f t="shared" si="4"/>
        <v>21</v>
      </c>
      <c r="B132" s="32" t="s">
        <v>84</v>
      </c>
      <c r="C132" s="4"/>
      <c r="D132" s="4"/>
      <c r="E132" s="909">
        <v>0</v>
      </c>
      <c r="F132" s="1"/>
      <c r="G132" s="4" t="s">
        <v>1901</v>
      </c>
      <c r="H132" s="4">
        <f t="shared" si="5"/>
        <v>21</v>
      </c>
      <c r="K132"/>
      <c r="L132"/>
      <c r="M132"/>
      <c r="N132"/>
    </row>
    <row r="133" spans="1:14" x14ac:dyDescent="0.25">
      <c r="A133" s="4">
        <f t="shared" si="4"/>
        <v>22</v>
      </c>
      <c r="B133" s="32" t="s">
        <v>85</v>
      </c>
      <c r="E133" s="910">
        <f>SUM(E130:E132)</f>
        <v>77325.47700978574</v>
      </c>
      <c r="F133" s="1"/>
      <c r="G133" s="4" t="s">
        <v>86</v>
      </c>
      <c r="H133" s="4">
        <f t="shared" si="5"/>
        <v>22</v>
      </c>
      <c r="K133"/>
      <c r="L133"/>
      <c r="M133"/>
      <c r="N133"/>
    </row>
    <row r="134" spans="1:14" x14ac:dyDescent="0.25">
      <c r="A134" s="4">
        <f t="shared" si="4"/>
        <v>23</v>
      </c>
      <c r="B134" s="32"/>
      <c r="E134" s="11"/>
      <c r="G134" s="4"/>
      <c r="H134" s="4">
        <f t="shared" si="5"/>
        <v>23</v>
      </c>
      <c r="K134"/>
      <c r="L134"/>
      <c r="M134"/>
      <c r="N134"/>
    </row>
    <row r="135" spans="1:14" x14ac:dyDescent="0.25">
      <c r="A135" s="4">
        <f t="shared" si="4"/>
        <v>24</v>
      </c>
      <c r="B135" s="32" t="s">
        <v>87</v>
      </c>
      <c r="E135" s="22">
        <f>'Stmt Misc.'!E14</f>
        <v>0</v>
      </c>
      <c r="G135" s="4" t="s">
        <v>88</v>
      </c>
      <c r="H135" s="4">
        <f t="shared" si="5"/>
        <v>24</v>
      </c>
      <c r="K135"/>
      <c r="L135"/>
      <c r="M135"/>
      <c r="N135"/>
    </row>
    <row r="136" spans="1:14" x14ac:dyDescent="0.25">
      <c r="A136" s="4">
        <f t="shared" si="4"/>
        <v>25</v>
      </c>
      <c r="B136" s="32" t="s">
        <v>89</v>
      </c>
      <c r="E136" s="1201">
        <f>'Stmt Misc.'!E16</f>
        <v>-11663.000464325965</v>
      </c>
      <c r="G136" s="4" t="s">
        <v>90</v>
      </c>
      <c r="H136" s="4">
        <f t="shared" si="5"/>
        <v>25</v>
      </c>
      <c r="K136"/>
      <c r="L136"/>
      <c r="M136"/>
      <c r="N136"/>
    </row>
    <row r="137" spans="1:14" x14ac:dyDescent="0.25">
      <c r="A137" s="4">
        <f t="shared" si="4"/>
        <v>26</v>
      </c>
      <c r="B137" s="31" t="s">
        <v>1794</v>
      </c>
      <c r="C137" s="254"/>
      <c r="D137" s="254"/>
      <c r="E137" s="1218">
        <f>'Stmt Misc.'!E20</f>
        <v>0</v>
      </c>
      <c r="F137" s="254"/>
      <c r="G137" s="4" t="s">
        <v>1793</v>
      </c>
      <c r="H137" s="4">
        <f t="shared" si="5"/>
        <v>26</v>
      </c>
      <c r="I137" s="357"/>
      <c r="J137" s="254"/>
      <c r="K137"/>
      <c r="L137"/>
      <c r="M137"/>
      <c r="N137"/>
    </row>
    <row r="138" spans="1:14" x14ac:dyDescent="0.25">
      <c r="A138" s="4">
        <f t="shared" si="4"/>
        <v>27</v>
      </c>
      <c r="B138" s="32"/>
      <c r="E138" s="11"/>
      <c r="G138" s="4"/>
      <c r="H138" s="4">
        <f t="shared" si="5"/>
        <v>27</v>
      </c>
      <c r="I138" s="357"/>
      <c r="K138"/>
      <c r="L138"/>
      <c r="M138"/>
      <c r="N138"/>
    </row>
    <row r="139" spans="1:14" ht="16.5" thickBot="1" x14ac:dyDescent="0.3">
      <c r="A139" s="4">
        <f t="shared" si="4"/>
        <v>28</v>
      </c>
      <c r="B139" s="32" t="s">
        <v>91</v>
      </c>
      <c r="C139" s="276"/>
      <c r="D139" s="276"/>
      <c r="E139" s="24">
        <f>E135+E133+E127+E122+E117+E136+E137</f>
        <v>5651620.4488822836</v>
      </c>
      <c r="F139" s="276"/>
      <c r="G139" s="4" t="s">
        <v>1846</v>
      </c>
      <c r="H139" s="4">
        <f t="shared" si="5"/>
        <v>28</v>
      </c>
      <c r="I139" s="357"/>
      <c r="J139" s="35"/>
      <c r="K139"/>
      <c r="L139"/>
      <c r="M139"/>
      <c r="N139"/>
    </row>
    <row r="140" spans="1:14" ht="16.5" thickTop="1" x14ac:dyDescent="0.25">
      <c r="A140" s="4">
        <f t="shared" si="4"/>
        <v>29</v>
      </c>
      <c r="B140" s="32"/>
      <c r="E140" s="10"/>
      <c r="G140" s="4"/>
      <c r="H140" s="4">
        <f t="shared" si="5"/>
        <v>29</v>
      </c>
      <c r="I140" s="357"/>
      <c r="K140"/>
      <c r="L140"/>
      <c r="M140"/>
      <c r="N140"/>
    </row>
    <row r="141" spans="1:14" ht="18.75" x14ac:dyDescent="0.25">
      <c r="A141" s="4">
        <f t="shared" si="4"/>
        <v>30</v>
      </c>
      <c r="B141" s="247" t="s">
        <v>93</v>
      </c>
      <c r="E141" s="10"/>
      <c r="G141" s="4"/>
      <c r="H141" s="4">
        <f t="shared" si="5"/>
        <v>30</v>
      </c>
      <c r="I141" s="357"/>
      <c r="K141"/>
      <c r="L141"/>
      <c r="M141"/>
      <c r="N141"/>
    </row>
    <row r="142" spans="1:14" x14ac:dyDescent="0.25">
      <c r="A142" s="4">
        <f t="shared" si="4"/>
        <v>31</v>
      </c>
      <c r="B142" s="32" t="s">
        <v>94</v>
      </c>
      <c r="E142" s="7">
        <f>E191</f>
        <v>0</v>
      </c>
      <c r="G142" s="4" t="s">
        <v>95</v>
      </c>
      <c r="H142" s="4">
        <f t="shared" si="5"/>
        <v>31</v>
      </c>
      <c r="I142" s="357"/>
      <c r="K142"/>
      <c r="L142"/>
      <c r="M142"/>
      <c r="N142"/>
    </row>
    <row r="143" spans="1:14" x14ac:dyDescent="0.25">
      <c r="A143" s="4">
        <f t="shared" si="4"/>
        <v>32</v>
      </c>
      <c r="B143" s="32" t="s">
        <v>96</v>
      </c>
      <c r="E143" s="9">
        <f>'Stmt AF'!I19</f>
        <v>0</v>
      </c>
      <c r="G143" s="4" t="s">
        <v>97</v>
      </c>
      <c r="H143" s="4">
        <f t="shared" si="5"/>
        <v>32</v>
      </c>
      <c r="I143" s="357"/>
      <c r="K143"/>
      <c r="L143"/>
      <c r="M143"/>
      <c r="N143"/>
    </row>
    <row r="144" spans="1:14" ht="16.5" thickBot="1" x14ac:dyDescent="0.3">
      <c r="A144" s="4">
        <f t="shared" si="4"/>
        <v>33</v>
      </c>
      <c r="B144" s="31" t="s">
        <v>98</v>
      </c>
      <c r="E144" s="17">
        <f>SUM(E142:E143)</f>
        <v>0</v>
      </c>
      <c r="G144" s="4" t="s">
        <v>1903</v>
      </c>
      <c r="H144" s="4">
        <f t="shared" si="5"/>
        <v>33</v>
      </c>
      <c r="I144" s="357"/>
      <c r="K144"/>
      <c r="L144"/>
      <c r="M144"/>
      <c r="N144"/>
    </row>
    <row r="145" spans="1:14" ht="16.5" thickTop="1" x14ac:dyDescent="0.25">
      <c r="A145" s="4">
        <f t="shared" si="4"/>
        <v>34</v>
      </c>
      <c r="B145" s="32"/>
      <c r="E145" s="10"/>
      <c r="G145" s="4"/>
      <c r="H145" s="4">
        <f t="shared" si="5"/>
        <v>34</v>
      </c>
      <c r="I145" s="357"/>
      <c r="K145"/>
      <c r="L145"/>
      <c r="M145"/>
      <c r="N145"/>
    </row>
    <row r="146" spans="1:14" ht="18.75" x14ac:dyDescent="0.25">
      <c r="A146" s="4">
        <f t="shared" si="4"/>
        <v>35</v>
      </c>
      <c r="B146" s="247" t="s">
        <v>100</v>
      </c>
      <c r="E146" s="10"/>
      <c r="G146" s="4"/>
      <c r="H146" s="4">
        <f t="shared" si="5"/>
        <v>35</v>
      </c>
      <c r="I146" s="357"/>
      <c r="K146"/>
      <c r="L146"/>
      <c r="M146"/>
      <c r="N146"/>
    </row>
    <row r="147" spans="1:14" x14ac:dyDescent="0.25">
      <c r="A147" s="4">
        <f t="shared" si="4"/>
        <v>36</v>
      </c>
      <c r="B147" s="32" t="s">
        <v>101</v>
      </c>
      <c r="E147" s="7">
        <f>'Stmt Misc.'!E18</f>
        <v>0</v>
      </c>
      <c r="G147" s="4" t="s">
        <v>102</v>
      </c>
      <c r="H147" s="4">
        <f t="shared" si="5"/>
        <v>36</v>
      </c>
      <c r="I147" s="357"/>
      <c r="K147"/>
      <c r="L147"/>
      <c r="M147"/>
      <c r="N147"/>
    </row>
    <row r="148" spans="1:14" x14ac:dyDescent="0.25">
      <c r="A148" s="4">
        <f t="shared" si="4"/>
        <v>37</v>
      </c>
      <c r="B148" s="31" t="s">
        <v>103</v>
      </c>
      <c r="E148" s="841">
        <f>'Stmt AF'!I23</f>
        <v>0</v>
      </c>
      <c r="G148" s="4" t="s">
        <v>104</v>
      </c>
      <c r="H148" s="4">
        <f t="shared" si="5"/>
        <v>37</v>
      </c>
      <c r="I148" s="357"/>
      <c r="K148"/>
      <c r="L148"/>
      <c r="M148"/>
      <c r="N148"/>
    </row>
    <row r="149" spans="1:14" ht="16.5" thickBot="1" x14ac:dyDescent="0.3">
      <c r="A149" s="4">
        <f t="shared" si="4"/>
        <v>38</v>
      </c>
      <c r="B149" s="31" t="s">
        <v>105</v>
      </c>
      <c r="E149" s="17">
        <f>SUM(E147:E148)</f>
        <v>0</v>
      </c>
      <c r="G149" s="4" t="s">
        <v>1902</v>
      </c>
      <c r="H149" s="4">
        <f t="shared" si="5"/>
        <v>38</v>
      </c>
      <c r="I149" s="357"/>
      <c r="K149"/>
      <c r="L149"/>
      <c r="M149"/>
      <c r="N149"/>
    </row>
    <row r="150" spans="1:14" ht="16.5" thickTop="1" x14ac:dyDescent="0.25">
      <c r="A150" s="4">
        <f t="shared" si="4"/>
        <v>39</v>
      </c>
      <c r="B150" s="32"/>
      <c r="E150" s="10"/>
      <c r="G150" s="4"/>
      <c r="H150" s="4">
        <f t="shared" si="5"/>
        <v>39</v>
      </c>
      <c r="I150" s="357"/>
      <c r="K150"/>
      <c r="L150"/>
      <c r="M150"/>
      <c r="N150"/>
    </row>
    <row r="151" spans="1:14" ht="19.5" thickBot="1" x14ac:dyDescent="0.3">
      <c r="A151" s="4">
        <f t="shared" si="4"/>
        <v>40</v>
      </c>
      <c r="B151" s="247" t="s">
        <v>107</v>
      </c>
      <c r="E151" s="1148">
        <f>'Stmt AM'!E11</f>
        <v>0</v>
      </c>
      <c r="G151" s="4" t="s">
        <v>108</v>
      </c>
      <c r="H151" s="4">
        <f t="shared" si="5"/>
        <v>40</v>
      </c>
      <c r="I151" s="357"/>
      <c r="K151"/>
      <c r="L151"/>
      <c r="M151"/>
      <c r="N151"/>
    </row>
    <row r="152" spans="1:14" ht="16.5" thickTop="1" x14ac:dyDescent="0.25">
      <c r="A152" s="4"/>
      <c r="B152" s="32"/>
      <c r="E152" s="10"/>
      <c r="G152" s="4"/>
      <c r="K152"/>
      <c r="L152"/>
      <c r="M152"/>
      <c r="N152"/>
    </row>
    <row r="153" spans="1:14" x14ac:dyDescent="0.25">
      <c r="A153" s="4"/>
      <c r="B153" s="32"/>
      <c r="E153" s="10"/>
      <c r="G153" s="4"/>
      <c r="K153"/>
      <c r="L153"/>
      <c r="M153"/>
      <c r="N153"/>
    </row>
    <row r="154" spans="1:14" ht="18.75" x14ac:dyDescent="0.25">
      <c r="A154" s="252">
        <v>1</v>
      </c>
      <c r="B154" s="32" t="s">
        <v>109</v>
      </c>
      <c r="E154" s="10"/>
      <c r="G154" s="4"/>
      <c r="K154"/>
      <c r="L154"/>
      <c r="M154"/>
      <c r="N154"/>
    </row>
    <row r="155" spans="1:14" ht="18.75" x14ac:dyDescent="0.25">
      <c r="A155" s="252">
        <v>2</v>
      </c>
      <c r="B155" s="31" t="s">
        <v>52</v>
      </c>
      <c r="E155" s="10"/>
      <c r="G155" s="4"/>
      <c r="K155"/>
      <c r="L155"/>
      <c r="M155"/>
      <c r="N155"/>
    </row>
    <row r="156" spans="1:14" x14ac:dyDescent="0.25">
      <c r="A156" s="4"/>
      <c r="B156" s="1"/>
      <c r="E156" s="10"/>
      <c r="G156" s="4"/>
      <c r="K156"/>
      <c r="L156"/>
      <c r="M156"/>
      <c r="N156"/>
    </row>
    <row r="157" spans="1:14" x14ac:dyDescent="0.25">
      <c r="A157" s="4"/>
      <c r="B157" s="1"/>
      <c r="E157" s="10"/>
      <c r="G157" s="4"/>
      <c r="K157"/>
      <c r="L157"/>
      <c r="M157"/>
      <c r="N157"/>
    </row>
    <row r="158" spans="1:14" x14ac:dyDescent="0.25">
      <c r="A158" s="4"/>
      <c r="B158" s="1316" t="s">
        <v>0</v>
      </c>
      <c r="C158" s="1313"/>
      <c r="D158" s="1313"/>
      <c r="E158" s="1313"/>
      <c r="F158" s="1313"/>
      <c r="G158" s="1313"/>
      <c r="K158"/>
      <c r="L158"/>
      <c r="M158"/>
      <c r="N158"/>
    </row>
    <row r="159" spans="1:14" x14ac:dyDescent="0.25">
      <c r="A159" s="4" t="s">
        <v>1</v>
      </c>
      <c r="B159" s="1316" t="s">
        <v>2</v>
      </c>
      <c r="C159" s="1313"/>
      <c r="D159" s="1313"/>
      <c r="E159" s="1313"/>
      <c r="F159" s="1313"/>
      <c r="G159" s="1313"/>
      <c r="K159"/>
      <c r="L159"/>
      <c r="M159"/>
      <c r="N159"/>
    </row>
    <row r="160" spans="1:14" ht="17.25" x14ac:dyDescent="0.25">
      <c r="A160" s="4"/>
      <c r="B160" s="1316" t="s">
        <v>1988</v>
      </c>
      <c r="C160" s="1317"/>
      <c r="D160" s="1317"/>
      <c r="E160" s="1317"/>
      <c r="F160" s="1317"/>
      <c r="G160" s="1317"/>
      <c r="K160"/>
      <c r="L160"/>
      <c r="M160"/>
      <c r="N160"/>
    </row>
    <row r="161" spans="1:14" x14ac:dyDescent="0.25">
      <c r="A161" s="4"/>
      <c r="B161" s="1318" t="str">
        <f>B5</f>
        <v>For the Base Period &amp; True-Up Period Ending December 31, 2025</v>
      </c>
      <c r="C161" s="1319"/>
      <c r="D161" s="1319"/>
      <c r="E161" s="1319"/>
      <c r="F161" s="1319"/>
      <c r="G161" s="1319"/>
      <c r="K161"/>
      <c r="L161"/>
      <c r="M161"/>
      <c r="N161"/>
    </row>
    <row r="162" spans="1:14" x14ac:dyDescent="0.25">
      <c r="A162" s="4"/>
      <c r="B162" s="1312" t="s">
        <v>4</v>
      </c>
      <c r="C162" s="1313"/>
      <c r="D162" s="1313"/>
      <c r="E162" s="1313"/>
      <c r="F162" s="1313"/>
      <c r="G162" s="1313"/>
      <c r="K162"/>
      <c r="L162"/>
      <c r="M162"/>
      <c r="N162"/>
    </row>
    <row r="163" spans="1:14" x14ac:dyDescent="0.25">
      <c r="A163" s="4"/>
      <c r="B163" s="34"/>
      <c r="K163"/>
      <c r="L163"/>
      <c r="M163"/>
      <c r="N163"/>
    </row>
    <row r="164" spans="1:14" x14ac:dyDescent="0.25">
      <c r="A164" s="4" t="s">
        <v>5</v>
      </c>
      <c r="E164" s="25"/>
      <c r="G164" s="4"/>
      <c r="H164" s="4" t="s">
        <v>5</v>
      </c>
      <c r="K164"/>
      <c r="L164"/>
      <c r="M164"/>
      <c r="N164"/>
    </row>
    <row r="165" spans="1:14" x14ac:dyDescent="0.25">
      <c r="A165" s="4" t="s">
        <v>6</v>
      </c>
      <c r="B165" s="1" t="s">
        <v>1</v>
      </c>
      <c r="E165" s="907" t="s">
        <v>7</v>
      </c>
      <c r="G165" s="848" t="s">
        <v>8</v>
      </c>
      <c r="H165" s="4" t="s">
        <v>6</v>
      </c>
      <c r="K165"/>
      <c r="L165"/>
      <c r="M165"/>
      <c r="N165"/>
    </row>
    <row r="166" spans="1:14" x14ac:dyDescent="0.25">
      <c r="A166" s="4"/>
      <c r="B166" s="247" t="s">
        <v>110</v>
      </c>
      <c r="E166" s="25"/>
      <c r="G166" s="4"/>
      <c r="K166"/>
      <c r="L166"/>
      <c r="M166"/>
      <c r="N166"/>
    </row>
    <row r="167" spans="1:14" x14ac:dyDescent="0.25">
      <c r="A167" s="4">
        <v>1</v>
      </c>
      <c r="B167" s="249" t="s">
        <v>111</v>
      </c>
      <c r="E167" s="25"/>
      <c r="G167" s="4"/>
      <c r="H167" s="4">
        <f>A167</f>
        <v>1</v>
      </c>
      <c r="K167"/>
      <c r="L167"/>
      <c r="M167"/>
      <c r="N167"/>
    </row>
    <row r="168" spans="1:14" x14ac:dyDescent="0.25">
      <c r="A168" s="4">
        <f t="shared" ref="A168:A191" si="6">A167+1</f>
        <v>2</v>
      </c>
      <c r="B168" s="32" t="s">
        <v>56</v>
      </c>
      <c r="E168" s="7">
        <f>'Stmt AD'!I21</f>
        <v>8948474.2530016713</v>
      </c>
      <c r="F168" s="71"/>
      <c r="G168" s="4" t="s">
        <v>112</v>
      </c>
      <c r="H168" s="4">
        <f t="shared" ref="H168:H191" si="7">H167+1</f>
        <v>2</v>
      </c>
      <c r="J168" s="726"/>
      <c r="K168"/>
      <c r="L168"/>
      <c r="M168"/>
      <c r="N168"/>
    </row>
    <row r="169" spans="1:14" x14ac:dyDescent="0.25">
      <c r="A169" s="4">
        <f t="shared" si="6"/>
        <v>3</v>
      </c>
      <c r="B169" s="32" t="s">
        <v>113</v>
      </c>
      <c r="E169" s="9">
        <f>'Stmt AD'!I37</f>
        <v>0</v>
      </c>
      <c r="F169" s="71"/>
      <c r="G169" s="4" t="s">
        <v>114</v>
      </c>
      <c r="H169" s="4">
        <f t="shared" si="7"/>
        <v>3</v>
      </c>
      <c r="J169" s="251"/>
      <c r="K169"/>
      <c r="L169"/>
      <c r="M169"/>
      <c r="N169"/>
    </row>
    <row r="170" spans="1:14" x14ac:dyDescent="0.25">
      <c r="A170" s="4">
        <f t="shared" si="6"/>
        <v>4</v>
      </c>
      <c r="B170" s="32" t="s">
        <v>60</v>
      </c>
      <c r="E170" s="9">
        <f>'Stmt AD'!I39</f>
        <v>63728.047961633194</v>
      </c>
      <c r="F170" s="1"/>
      <c r="G170" s="4" t="s">
        <v>115</v>
      </c>
      <c r="H170" s="4">
        <f t="shared" si="7"/>
        <v>4</v>
      </c>
      <c r="K170"/>
      <c r="L170"/>
      <c r="M170"/>
      <c r="N170"/>
    </row>
    <row r="171" spans="1:14" x14ac:dyDescent="0.25">
      <c r="A171" s="4">
        <f t="shared" si="6"/>
        <v>5</v>
      </c>
      <c r="B171" s="32" t="s">
        <v>62</v>
      </c>
      <c r="C171" s="4"/>
      <c r="D171" s="4"/>
      <c r="E171" s="841">
        <f>'Stmt AD'!I41</f>
        <v>408196.55337768659</v>
      </c>
      <c r="F171" s="1"/>
      <c r="G171" s="4" t="s">
        <v>116</v>
      </c>
      <c r="H171" s="4">
        <f t="shared" si="7"/>
        <v>5</v>
      </c>
      <c r="K171"/>
      <c r="L171"/>
      <c r="M171"/>
      <c r="N171"/>
    </row>
    <row r="172" spans="1:14" x14ac:dyDescent="0.25">
      <c r="A172" s="4">
        <f t="shared" si="6"/>
        <v>6</v>
      </c>
      <c r="B172" s="32" t="s">
        <v>117</v>
      </c>
      <c r="E172" s="910">
        <f>SUM(E168:E171)</f>
        <v>9420398.854340991</v>
      </c>
      <c r="F172" s="71"/>
      <c r="G172" s="4" t="s">
        <v>65</v>
      </c>
      <c r="H172" s="4">
        <f t="shared" si="7"/>
        <v>6</v>
      </c>
      <c r="J172" s="251"/>
      <c r="K172"/>
      <c r="L172"/>
      <c r="M172"/>
      <c r="N172"/>
    </row>
    <row r="173" spans="1:14" x14ac:dyDescent="0.25">
      <c r="A173" s="4">
        <f t="shared" si="6"/>
        <v>7</v>
      </c>
      <c r="C173" s="4"/>
      <c r="D173" s="4"/>
      <c r="E173" s="25"/>
      <c r="G173" s="4"/>
      <c r="H173" s="4">
        <f t="shared" si="7"/>
        <v>7</v>
      </c>
      <c r="K173"/>
      <c r="L173"/>
      <c r="M173"/>
      <c r="N173"/>
    </row>
    <row r="174" spans="1:14" x14ac:dyDescent="0.25">
      <c r="A174" s="4">
        <f t="shared" si="6"/>
        <v>8</v>
      </c>
      <c r="B174" s="250" t="s">
        <v>118</v>
      </c>
      <c r="E174" s="25"/>
      <c r="G174" s="4"/>
      <c r="H174" s="4">
        <f t="shared" si="7"/>
        <v>8</v>
      </c>
      <c r="K174"/>
      <c r="L174"/>
      <c r="M174"/>
      <c r="N174"/>
    </row>
    <row r="175" spans="1:14" x14ac:dyDescent="0.25">
      <c r="A175" s="4">
        <f t="shared" si="6"/>
        <v>9</v>
      </c>
      <c r="B175" s="31" t="s">
        <v>119</v>
      </c>
      <c r="E175" s="7">
        <f>'Stmt AE'!I11</f>
        <v>2446724.2792333583</v>
      </c>
      <c r="F175" s="71"/>
      <c r="G175" s="4" t="s">
        <v>120</v>
      </c>
      <c r="H175" s="4">
        <f t="shared" si="7"/>
        <v>9</v>
      </c>
      <c r="K175"/>
      <c r="L175"/>
      <c r="M175"/>
      <c r="N175"/>
    </row>
    <row r="176" spans="1:14" x14ac:dyDescent="0.25">
      <c r="A176" s="4">
        <f t="shared" si="6"/>
        <v>10</v>
      </c>
      <c r="B176" s="31" t="s">
        <v>121</v>
      </c>
      <c r="E176" s="9">
        <f>'Stmt AE'!I21</f>
        <v>0</v>
      </c>
      <c r="F176" s="71"/>
      <c r="G176" s="4" t="s">
        <v>122</v>
      </c>
      <c r="H176" s="4">
        <f t="shared" si="7"/>
        <v>10</v>
      </c>
      <c r="K176"/>
      <c r="L176"/>
      <c r="M176"/>
      <c r="N176"/>
    </row>
    <row r="177" spans="1:14" x14ac:dyDescent="0.25">
      <c r="A177" s="4">
        <f t="shared" si="6"/>
        <v>11</v>
      </c>
      <c r="B177" s="31" t="s">
        <v>123</v>
      </c>
      <c r="E177" s="9">
        <f>'Stmt AE'!I23</f>
        <v>36235.444574008783</v>
      </c>
      <c r="F177" s="1"/>
      <c r="G177" s="4" t="s">
        <v>124</v>
      </c>
      <c r="H177" s="4">
        <f t="shared" si="7"/>
        <v>11</v>
      </c>
      <c r="K177"/>
      <c r="L177"/>
      <c r="M177"/>
      <c r="N177"/>
    </row>
    <row r="178" spans="1:14" x14ac:dyDescent="0.25">
      <c r="A178" s="4">
        <f t="shared" si="6"/>
        <v>12</v>
      </c>
      <c r="B178" s="31" t="s">
        <v>125</v>
      </c>
      <c r="E178" s="841">
        <f>'Stmt AE'!I25</f>
        <v>189267.24246158905</v>
      </c>
      <c r="F178" s="1"/>
      <c r="G178" s="4" t="s">
        <v>126</v>
      </c>
      <c r="H178" s="4">
        <f t="shared" si="7"/>
        <v>12</v>
      </c>
      <c r="K178"/>
      <c r="L178"/>
      <c r="M178"/>
      <c r="N178"/>
    </row>
    <row r="179" spans="1:14" x14ac:dyDescent="0.25">
      <c r="A179" s="4">
        <f t="shared" si="6"/>
        <v>13</v>
      </c>
      <c r="B179" s="251" t="s">
        <v>127</v>
      </c>
      <c r="C179" s="251"/>
      <c r="D179" s="251"/>
      <c r="E179" s="910">
        <f>SUM(E175:E178)</f>
        <v>2672226.9662689562</v>
      </c>
      <c r="F179" s="71"/>
      <c r="G179" s="4" t="s">
        <v>128</v>
      </c>
      <c r="H179" s="4">
        <f t="shared" si="7"/>
        <v>13</v>
      </c>
      <c r="K179"/>
      <c r="L179"/>
      <c r="M179"/>
      <c r="N179"/>
    </row>
    <row r="180" spans="1:14" x14ac:dyDescent="0.25">
      <c r="A180" s="4">
        <f t="shared" si="6"/>
        <v>14</v>
      </c>
      <c r="B180" s="251"/>
      <c r="C180" s="251"/>
      <c r="D180" s="251"/>
      <c r="E180" s="8"/>
      <c r="G180" s="4"/>
      <c r="H180" s="4">
        <f t="shared" si="7"/>
        <v>14</v>
      </c>
      <c r="K180"/>
      <c r="L180"/>
      <c r="M180"/>
      <c r="N180"/>
    </row>
    <row r="181" spans="1:14" x14ac:dyDescent="0.25">
      <c r="A181" s="4">
        <f t="shared" si="6"/>
        <v>15</v>
      </c>
      <c r="B181" s="249" t="s">
        <v>55</v>
      </c>
      <c r="C181" s="251"/>
      <c r="D181" s="251"/>
      <c r="E181" s="8"/>
      <c r="G181" s="4"/>
      <c r="H181" s="4">
        <f t="shared" si="7"/>
        <v>15</v>
      </c>
      <c r="K181"/>
      <c r="L181"/>
      <c r="M181"/>
      <c r="N181"/>
    </row>
    <row r="182" spans="1:14" x14ac:dyDescent="0.25">
      <c r="A182" s="4">
        <f t="shared" si="6"/>
        <v>16</v>
      </c>
      <c r="B182" s="32" t="s">
        <v>56</v>
      </c>
      <c r="E182" s="10">
        <f>+E168-E175</f>
        <v>6501749.9737683125</v>
      </c>
      <c r="F182" s="71"/>
      <c r="G182" s="4" t="s">
        <v>1606</v>
      </c>
      <c r="H182" s="4">
        <f t="shared" si="7"/>
        <v>16</v>
      </c>
      <c r="K182"/>
      <c r="L182"/>
      <c r="M182"/>
      <c r="N182"/>
    </row>
    <row r="183" spans="1:14" x14ac:dyDescent="0.25">
      <c r="A183" s="4">
        <f t="shared" si="6"/>
        <v>17</v>
      </c>
      <c r="B183" s="32" t="s">
        <v>58</v>
      </c>
      <c r="E183" s="8">
        <f>+E169-E176</f>
        <v>0</v>
      </c>
      <c r="F183" s="71"/>
      <c r="G183" s="4" t="s">
        <v>1607</v>
      </c>
      <c r="H183" s="4">
        <f t="shared" si="7"/>
        <v>17</v>
      </c>
      <c r="K183"/>
      <c r="L183"/>
      <c r="M183"/>
      <c r="N183"/>
    </row>
    <row r="184" spans="1:14" x14ac:dyDescent="0.25">
      <c r="A184" s="4">
        <f t="shared" si="6"/>
        <v>18</v>
      </c>
      <c r="B184" s="32" t="s">
        <v>60</v>
      </c>
      <c r="E184" s="8">
        <f>+E170-E177</f>
        <v>27492.603387624411</v>
      </c>
      <c r="G184" s="4" t="s">
        <v>1608</v>
      </c>
      <c r="H184" s="4">
        <f t="shared" si="7"/>
        <v>18</v>
      </c>
      <c r="K184"/>
      <c r="L184"/>
      <c r="M184"/>
      <c r="N184"/>
    </row>
    <row r="185" spans="1:14" x14ac:dyDescent="0.25">
      <c r="A185" s="4">
        <f t="shared" si="6"/>
        <v>19</v>
      </c>
      <c r="B185" s="32" t="s">
        <v>62</v>
      </c>
      <c r="E185" s="911">
        <f>+E171-E178</f>
        <v>218929.31091609754</v>
      </c>
      <c r="G185" s="4" t="s">
        <v>1609</v>
      </c>
      <c r="H185" s="4">
        <f t="shared" si="7"/>
        <v>19</v>
      </c>
      <c r="K185"/>
      <c r="L185"/>
      <c r="M185"/>
      <c r="N185"/>
    </row>
    <row r="186" spans="1:14" ht="16.5" thickBot="1" x14ac:dyDescent="0.3">
      <c r="A186" s="4">
        <f t="shared" si="6"/>
        <v>20</v>
      </c>
      <c r="B186" s="31" t="s">
        <v>64</v>
      </c>
      <c r="E186" s="17">
        <f>SUM(E182:E185)</f>
        <v>6748171.8880720343</v>
      </c>
      <c r="F186" s="71"/>
      <c r="G186" s="4" t="s">
        <v>129</v>
      </c>
      <c r="H186" s="4">
        <f t="shared" si="7"/>
        <v>20</v>
      </c>
      <c r="K186"/>
      <c r="L186"/>
      <c r="M186"/>
      <c r="N186"/>
    </row>
    <row r="187" spans="1:14" ht="16.5" thickTop="1" x14ac:dyDescent="0.25">
      <c r="A187" s="4">
        <f t="shared" si="6"/>
        <v>21</v>
      </c>
      <c r="E187" s="10"/>
      <c r="G187" s="4"/>
      <c r="H187" s="4">
        <f t="shared" si="7"/>
        <v>21</v>
      </c>
      <c r="K187"/>
      <c r="L187"/>
      <c r="M187"/>
      <c r="N187"/>
    </row>
    <row r="188" spans="1:14" ht="18.75" x14ac:dyDescent="0.25">
      <c r="A188" s="4">
        <f t="shared" si="6"/>
        <v>22</v>
      </c>
      <c r="B188" s="247" t="s">
        <v>130</v>
      </c>
      <c r="E188" s="10"/>
      <c r="G188" s="4"/>
      <c r="H188" s="4">
        <f t="shared" si="7"/>
        <v>22</v>
      </c>
      <c r="K188"/>
      <c r="L188"/>
      <c r="M188"/>
      <c r="N188"/>
    </row>
    <row r="189" spans="1:14" x14ac:dyDescent="0.25">
      <c r="A189" s="4">
        <f t="shared" si="6"/>
        <v>23</v>
      </c>
      <c r="B189" s="32" t="s">
        <v>131</v>
      </c>
      <c r="E189" s="7">
        <f>'Stmt AD'!I23</f>
        <v>0</v>
      </c>
      <c r="G189" s="4" t="s">
        <v>132</v>
      </c>
      <c r="H189" s="4">
        <f t="shared" si="7"/>
        <v>23</v>
      </c>
      <c r="K189"/>
      <c r="L189"/>
      <c r="M189"/>
      <c r="N189"/>
    </row>
    <row r="190" spans="1:14" x14ac:dyDescent="0.25">
      <c r="A190" s="4">
        <f t="shared" si="6"/>
        <v>24</v>
      </c>
      <c r="B190" s="31" t="s">
        <v>133</v>
      </c>
      <c r="E190" s="841">
        <f>'Stmt AE'!I29</f>
        <v>0</v>
      </c>
      <c r="G190" s="4" t="s">
        <v>134</v>
      </c>
      <c r="H190" s="4">
        <f t="shared" si="7"/>
        <v>24</v>
      </c>
      <c r="K190"/>
      <c r="L190"/>
      <c r="M190"/>
      <c r="N190"/>
    </row>
    <row r="191" spans="1:14" ht="16.5" thickBot="1" x14ac:dyDescent="0.3">
      <c r="A191" s="4">
        <f t="shared" si="6"/>
        <v>25</v>
      </c>
      <c r="B191" s="32" t="s">
        <v>135</v>
      </c>
      <c r="E191" s="24">
        <f>E189-E190</f>
        <v>0</v>
      </c>
      <c r="G191" s="4" t="s">
        <v>1610</v>
      </c>
      <c r="H191" s="4">
        <f t="shared" si="7"/>
        <v>25</v>
      </c>
      <c r="K191"/>
      <c r="L191"/>
      <c r="M191"/>
      <c r="N191"/>
    </row>
    <row r="192" spans="1:14" ht="16.5" thickTop="1" x14ac:dyDescent="0.25">
      <c r="A192" s="4"/>
      <c r="B192" s="32"/>
      <c r="E192" s="10"/>
      <c r="G192" s="4"/>
      <c r="K192"/>
      <c r="L192"/>
      <c r="M192"/>
      <c r="N192"/>
    </row>
    <row r="193" spans="1:14" x14ac:dyDescent="0.25">
      <c r="A193" s="4"/>
      <c r="B193" s="32"/>
      <c r="E193" s="10"/>
      <c r="G193" s="4"/>
      <c r="K193"/>
      <c r="L193"/>
      <c r="M193"/>
      <c r="N193"/>
    </row>
    <row r="194" spans="1:14" ht="18.75" x14ac:dyDescent="0.25">
      <c r="A194" s="252">
        <v>1</v>
      </c>
      <c r="B194" s="31" t="s">
        <v>136</v>
      </c>
      <c r="E194" s="10"/>
      <c r="G194" s="4"/>
      <c r="K194"/>
      <c r="L194"/>
      <c r="M194"/>
      <c r="N194"/>
    </row>
    <row r="195" spans="1:14" x14ac:dyDescent="0.25">
      <c r="A195" s="4"/>
      <c r="E195" s="10"/>
      <c r="G195" s="4"/>
      <c r="K195"/>
      <c r="L195"/>
      <c r="M195"/>
      <c r="N195"/>
    </row>
    <row r="197" spans="1:14" x14ac:dyDescent="0.25">
      <c r="B197" s="1" t="s">
        <v>1964</v>
      </c>
    </row>
    <row r="198" spans="1:14" ht="31.5" x14ac:dyDescent="0.25">
      <c r="B198" s="1271" t="s">
        <v>1965</v>
      </c>
    </row>
    <row r="199" spans="1:14" ht="31.5" x14ac:dyDescent="0.25">
      <c r="B199" s="1272" t="s">
        <v>1966</v>
      </c>
      <c r="E199" s="1194"/>
    </row>
    <row r="200" spans="1:14" x14ac:dyDescent="0.25">
      <c r="B200" s="1273" t="s">
        <v>1967</v>
      </c>
    </row>
    <row r="201" spans="1:14" ht="31.5" x14ac:dyDescent="0.25">
      <c r="B201" s="723" t="s">
        <v>1968</v>
      </c>
      <c r="E201" s="35"/>
    </row>
  </sheetData>
  <mergeCells count="20">
    <mergeCell ref="B104:G104"/>
    <mergeCell ref="B2:G2"/>
    <mergeCell ref="B3:G3"/>
    <mergeCell ref="B4:G4"/>
    <mergeCell ref="B5:G5"/>
    <mergeCell ref="B6:G6"/>
    <mergeCell ref="B47:G47"/>
    <mergeCell ref="B48:G48"/>
    <mergeCell ref="B49:G49"/>
    <mergeCell ref="B50:G50"/>
    <mergeCell ref="B51:G51"/>
    <mergeCell ref="B103:G103"/>
    <mergeCell ref="B161:G161"/>
    <mergeCell ref="B162:G162"/>
    <mergeCell ref="B105:G105"/>
    <mergeCell ref="B106:G106"/>
    <mergeCell ref="B107:G107"/>
    <mergeCell ref="B158:G158"/>
    <mergeCell ref="B159:G159"/>
    <mergeCell ref="B160:G160"/>
  </mergeCells>
  <printOptions horizontalCentered="1"/>
  <pageMargins left="0.5" right="0.5" top="0.5" bottom="0.5" header="0.25" footer="0.25"/>
  <pageSetup scale="52" fitToHeight="0" orientation="portrait" r:id="rId1"/>
  <headerFooter scaleWithDoc="0">
    <oddFooter>&amp;C&amp;"Times New Roman,Regular"&amp;10TO6 True-Up BK-1
Page &amp;P of 4</oddFooter>
  </headerFooter>
  <rowBreaks count="3" manualBreakCount="3">
    <brk id="45" max="7" man="1"/>
    <brk id="101" max="7" man="1"/>
    <brk id="156" max="7" man="1"/>
  </rowBreaks>
  <customProperties>
    <customPr name="_pios_id" r:id="rId2"/>
  </customPropertie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6D091-CCE8-4679-8652-021A4669C1B8}">
  <sheetPr>
    <pageSetUpPr fitToPage="1"/>
  </sheetPr>
  <dimension ref="A2:M174"/>
  <sheetViews>
    <sheetView zoomScale="80" zoomScaleNormal="80" workbookViewId="0">
      <selection activeCell="G35" sqref="G35"/>
    </sheetView>
  </sheetViews>
  <sheetFormatPr defaultRowHeight="15.75" x14ac:dyDescent="0.25"/>
  <cols>
    <col min="1" max="1" width="5.28515625" style="4" customWidth="1"/>
    <col min="2" max="2" width="46.7109375" customWidth="1"/>
    <col min="3" max="3" width="16.42578125" bestFit="1" customWidth="1"/>
    <col min="4" max="4" width="14.5703125" customWidth="1"/>
    <col min="5" max="5" width="15.5703125" bestFit="1" customWidth="1"/>
    <col min="6" max="6" width="17" bestFit="1" customWidth="1"/>
    <col min="7" max="7" width="17.42578125" bestFit="1" customWidth="1"/>
    <col min="8" max="8" width="18.28515625" bestFit="1" customWidth="1"/>
    <col min="9" max="9" width="22" bestFit="1" customWidth="1"/>
    <col min="10" max="10" width="5.28515625" style="4" customWidth="1"/>
  </cols>
  <sheetData>
    <row r="2" spans="1:13" x14ac:dyDescent="0.25">
      <c r="B2" s="1316" t="s">
        <v>0</v>
      </c>
      <c r="C2" s="1316"/>
      <c r="D2" s="1316"/>
      <c r="E2" s="1316"/>
      <c r="F2" s="1316"/>
      <c r="G2" s="1316"/>
      <c r="H2" s="1316"/>
      <c r="I2" s="1316"/>
    </row>
    <row r="3" spans="1:13" x14ac:dyDescent="0.25">
      <c r="B3" s="1316" t="s">
        <v>1307</v>
      </c>
      <c r="C3" s="1316"/>
      <c r="D3" s="1316"/>
      <c r="E3" s="1316"/>
      <c r="F3" s="1316"/>
      <c r="G3" s="1316"/>
      <c r="H3" s="1316"/>
      <c r="I3" s="1316"/>
    </row>
    <row r="4" spans="1:13" x14ac:dyDescent="0.25">
      <c r="B4" s="1316" t="s">
        <v>394</v>
      </c>
      <c r="C4" s="1316"/>
      <c r="D4" s="1316"/>
      <c r="E4" s="1316"/>
      <c r="F4" s="1316"/>
      <c r="G4" s="1316"/>
      <c r="H4" s="1316"/>
      <c r="I4" s="1316"/>
    </row>
    <row r="5" spans="1:13" x14ac:dyDescent="0.25">
      <c r="B5" s="1339" t="s">
        <v>2074</v>
      </c>
      <c r="C5" s="1339"/>
      <c r="D5" s="1339"/>
      <c r="E5" s="1339"/>
      <c r="F5" s="1339"/>
      <c r="G5" s="1339"/>
      <c r="H5" s="1339"/>
      <c r="I5" s="1339"/>
    </row>
    <row r="6" spans="1:13" x14ac:dyDescent="0.25">
      <c r="B6" s="1312" t="s">
        <v>4</v>
      </c>
      <c r="C6" s="1312"/>
      <c r="D6" s="1312"/>
      <c r="E6" s="1312"/>
      <c r="F6" s="1312"/>
      <c r="G6" s="1312"/>
      <c r="H6" s="1312"/>
      <c r="I6" s="1312"/>
    </row>
    <row r="8" spans="1:13" x14ac:dyDescent="0.25">
      <c r="A8" s="4" t="s">
        <v>5</v>
      </c>
      <c r="B8" s="602" t="s">
        <v>1137</v>
      </c>
      <c r="C8" s="602" t="s">
        <v>1138</v>
      </c>
      <c r="D8" s="602" t="s">
        <v>1139</v>
      </c>
      <c r="E8" s="602" t="s">
        <v>1140</v>
      </c>
      <c r="F8" s="602" t="s">
        <v>1141</v>
      </c>
      <c r="G8" s="602" t="s">
        <v>1142</v>
      </c>
      <c r="H8" s="602" t="s">
        <v>1143</v>
      </c>
      <c r="I8" s="602" t="s">
        <v>1144</v>
      </c>
      <c r="J8" s="4" t="s">
        <v>5</v>
      </c>
    </row>
    <row r="9" spans="1:13" x14ac:dyDescent="0.25">
      <c r="A9" s="4" t="s">
        <v>6</v>
      </c>
      <c r="B9" s="603"/>
      <c r="C9" s="604"/>
      <c r="D9" s="604"/>
      <c r="E9" s="605"/>
      <c r="F9" s="605"/>
      <c r="G9" s="617" t="s">
        <v>1308</v>
      </c>
      <c r="H9" s="618" t="s">
        <v>1309</v>
      </c>
      <c r="I9" s="604"/>
      <c r="J9" s="4" t="s">
        <v>6</v>
      </c>
    </row>
    <row r="10" spans="1:13" x14ac:dyDescent="0.25">
      <c r="B10" s="603"/>
      <c r="C10" s="606"/>
      <c r="D10" s="606"/>
      <c r="E10" s="605"/>
      <c r="F10" s="605"/>
      <c r="G10" s="605"/>
      <c r="H10" s="607"/>
      <c r="I10" s="603"/>
    </row>
    <row r="11" spans="1:13" x14ac:dyDescent="0.25">
      <c r="B11" s="608"/>
      <c r="C11" s="604" t="s">
        <v>1310</v>
      </c>
      <c r="D11" s="604" t="s">
        <v>1311</v>
      </c>
      <c r="E11" s="604"/>
      <c r="F11" s="604" t="s">
        <v>1312</v>
      </c>
      <c r="G11" s="604" t="s">
        <v>1313</v>
      </c>
      <c r="H11" s="609" t="s">
        <v>1314</v>
      </c>
      <c r="I11" s="609" t="s">
        <v>1315</v>
      </c>
    </row>
    <row r="12" spans="1:13" ht="18.75" x14ac:dyDescent="0.25">
      <c r="B12" s="608" t="s">
        <v>1316</v>
      </c>
      <c r="C12" s="610" t="s">
        <v>1317</v>
      </c>
      <c r="D12" s="610" t="s">
        <v>1318</v>
      </c>
      <c r="E12" s="610" t="s">
        <v>1319</v>
      </c>
      <c r="F12" s="610" t="s">
        <v>1320</v>
      </c>
      <c r="G12" s="610" t="s">
        <v>1321</v>
      </c>
      <c r="H12" s="608" t="s">
        <v>1322</v>
      </c>
      <c r="I12" s="608" t="s">
        <v>1323</v>
      </c>
    </row>
    <row r="13" spans="1:13" x14ac:dyDescent="0.25">
      <c r="A13" s="4">
        <v>1</v>
      </c>
      <c r="B13" s="611" t="s">
        <v>1891</v>
      </c>
      <c r="C13" s="612"/>
      <c r="D13" s="139">
        <f>'Stmt AF'!E17</f>
        <v>-1151644.0952140063</v>
      </c>
      <c r="E13" s="605"/>
      <c r="F13" s="613">
        <f>SUM(E14:E25)</f>
        <v>365</v>
      </c>
      <c r="G13" s="614">
        <f xml:space="preserve"> 1</f>
        <v>1</v>
      </c>
      <c r="H13" s="615"/>
      <c r="I13" s="141">
        <f>+D13</f>
        <v>-1151644.0952140063</v>
      </c>
      <c r="J13" s="4">
        <v>1</v>
      </c>
      <c r="L13" s="1199"/>
      <c r="M13" s="1206"/>
    </row>
    <row r="14" spans="1:13" x14ac:dyDescent="0.25">
      <c r="A14" s="4">
        <f>A13+1</f>
        <v>2</v>
      </c>
      <c r="B14" s="611" t="s">
        <v>1285</v>
      </c>
      <c r="C14" s="139">
        <f>('Stmt AF'!$G$17-'Stmt AF'!$E$17)/12</f>
        <v>-2186.5650099443155</v>
      </c>
      <c r="D14" s="115">
        <f>D13+C14</f>
        <v>-1153830.6602239506</v>
      </c>
      <c r="E14" s="619">
        <v>31</v>
      </c>
      <c r="F14" s="620">
        <f t="shared" ref="F14:F25" si="0">+F13-E14</f>
        <v>334</v>
      </c>
      <c r="G14" s="614">
        <f>F14/F13</f>
        <v>0.91506849315068495</v>
      </c>
      <c r="H14" s="141">
        <f t="shared" ref="H14:H25" si="1">C14*G14</f>
        <v>-2000.8567488257572</v>
      </c>
      <c r="I14" s="115">
        <f t="shared" ref="I14:I25" si="2">I13+H14</f>
        <v>-1153644.9519628321</v>
      </c>
      <c r="J14" s="4">
        <f>J13+1</f>
        <v>2</v>
      </c>
    </row>
    <row r="15" spans="1:13" x14ac:dyDescent="0.25">
      <c r="A15" s="4">
        <f>A14+1</f>
        <v>3</v>
      </c>
      <c r="B15" s="611" t="s">
        <v>1286</v>
      </c>
      <c r="C15" s="847">
        <f>('Stmt AF'!$G$17-'Stmt AF'!$E$17)/12</f>
        <v>-2186.5650099443155</v>
      </c>
      <c r="D15" s="115">
        <f>D14+C15</f>
        <v>-1156017.225233895</v>
      </c>
      <c r="E15" s="619">
        <v>28</v>
      </c>
      <c r="F15" s="620">
        <f t="shared" si="0"/>
        <v>306</v>
      </c>
      <c r="G15" s="614">
        <f>F15/F13</f>
        <v>0.83835616438356164</v>
      </c>
      <c r="H15" s="115">
        <f t="shared" si="1"/>
        <v>-1833.1202549122206</v>
      </c>
      <c r="I15" s="115">
        <f t="shared" si="2"/>
        <v>-1155478.0722177443</v>
      </c>
      <c r="J15" s="4">
        <f>J14+1</f>
        <v>3</v>
      </c>
    </row>
    <row r="16" spans="1:13" x14ac:dyDescent="0.25">
      <c r="A16" s="4">
        <f t="shared" ref="A16:A25" si="3">A15+1</f>
        <v>4</v>
      </c>
      <c r="B16" s="611" t="s">
        <v>1324</v>
      </c>
      <c r="C16" s="847">
        <f>('Stmt AF'!$G$17-'Stmt AF'!$E$17)/12</f>
        <v>-2186.5650099443155</v>
      </c>
      <c r="D16" s="115">
        <f>D15+C16</f>
        <v>-1158203.7902438394</v>
      </c>
      <c r="E16" s="619">
        <v>31</v>
      </c>
      <c r="F16" s="620">
        <f t="shared" si="0"/>
        <v>275</v>
      </c>
      <c r="G16" s="614">
        <f>F16/F13</f>
        <v>0.75342465753424659</v>
      </c>
      <c r="H16" s="115">
        <f t="shared" si="1"/>
        <v>-1647.4119937936625</v>
      </c>
      <c r="I16" s="115">
        <f t="shared" si="2"/>
        <v>-1157125.484211538</v>
      </c>
      <c r="J16" s="4">
        <f t="shared" ref="J16:J25" si="4">J15+1</f>
        <v>4</v>
      </c>
    </row>
    <row r="17" spans="1:13" x14ac:dyDescent="0.25">
      <c r="A17" s="4">
        <f t="shared" si="3"/>
        <v>5</v>
      </c>
      <c r="B17" s="611" t="s">
        <v>1325</v>
      </c>
      <c r="C17" s="847">
        <f>('Stmt AF'!$G$17-'Stmt AF'!$E$17)/12</f>
        <v>-2186.5650099443155</v>
      </c>
      <c r="D17" s="115">
        <f t="shared" ref="D17:D25" si="5">D16+C17</f>
        <v>-1160390.3552537838</v>
      </c>
      <c r="E17" s="619">
        <v>30</v>
      </c>
      <c r="F17" s="620">
        <f t="shared" si="0"/>
        <v>245</v>
      </c>
      <c r="G17" s="614">
        <f>F17/F13</f>
        <v>0.67123287671232879</v>
      </c>
      <c r="H17" s="115">
        <f t="shared" si="1"/>
        <v>-1467.6943217434448</v>
      </c>
      <c r="I17" s="115">
        <f t="shared" si="2"/>
        <v>-1158593.1785332814</v>
      </c>
      <c r="J17" s="4">
        <f t="shared" si="4"/>
        <v>5</v>
      </c>
    </row>
    <row r="18" spans="1:13" x14ac:dyDescent="0.25">
      <c r="A18" s="4">
        <f>A17+1</f>
        <v>6</v>
      </c>
      <c r="B18" s="611" t="s">
        <v>268</v>
      </c>
      <c r="C18" s="847">
        <f>('Stmt AF'!$G$17-'Stmt AF'!$E$17)/12</f>
        <v>-2186.5650099443155</v>
      </c>
      <c r="D18" s="115">
        <f t="shared" si="5"/>
        <v>-1162576.9202637281</v>
      </c>
      <c r="E18" s="619">
        <v>31</v>
      </c>
      <c r="F18" s="620">
        <f t="shared" si="0"/>
        <v>214</v>
      </c>
      <c r="G18" s="614">
        <f>F18/F13</f>
        <v>0.58630136986301373</v>
      </c>
      <c r="H18" s="115">
        <f t="shared" si="1"/>
        <v>-1281.9860606248865</v>
      </c>
      <c r="I18" s="115">
        <f t="shared" si="2"/>
        <v>-1159875.1645939064</v>
      </c>
      <c r="J18" s="4">
        <f>J17+1</f>
        <v>6</v>
      </c>
    </row>
    <row r="19" spans="1:13" x14ac:dyDescent="0.25">
      <c r="A19" s="4">
        <f t="shared" si="3"/>
        <v>7</v>
      </c>
      <c r="B19" s="611" t="s">
        <v>1326</v>
      </c>
      <c r="C19" s="847">
        <f>('Stmt AF'!$G$17-'Stmt AF'!$E$17)/12</f>
        <v>-2186.5650099443155</v>
      </c>
      <c r="D19" s="115">
        <f t="shared" si="5"/>
        <v>-1164763.4852736725</v>
      </c>
      <c r="E19" s="619">
        <v>30</v>
      </c>
      <c r="F19" s="620">
        <f t="shared" si="0"/>
        <v>184</v>
      </c>
      <c r="G19" s="614">
        <f>F19/F13</f>
        <v>0.50410958904109593</v>
      </c>
      <c r="H19" s="115">
        <f t="shared" si="1"/>
        <v>-1102.2683885746687</v>
      </c>
      <c r="I19" s="115">
        <f t="shared" si="2"/>
        <v>-1160977.4329824811</v>
      </c>
      <c r="J19" s="4">
        <f t="shared" si="4"/>
        <v>7</v>
      </c>
    </row>
    <row r="20" spans="1:13" x14ac:dyDescent="0.25">
      <c r="A20" s="4">
        <f t="shared" si="3"/>
        <v>8</v>
      </c>
      <c r="B20" s="611" t="s">
        <v>1327</v>
      </c>
      <c r="C20" s="847">
        <f>('Stmt AF'!$G$17-'Stmt AF'!$E$17)/12</f>
        <v>-2186.5650099443155</v>
      </c>
      <c r="D20" s="115">
        <f t="shared" si="5"/>
        <v>-1166950.0502836169</v>
      </c>
      <c r="E20" s="619">
        <v>31</v>
      </c>
      <c r="F20" s="620">
        <f t="shared" si="0"/>
        <v>153</v>
      </c>
      <c r="G20" s="614">
        <f>F20/F13</f>
        <v>0.41917808219178082</v>
      </c>
      <c r="H20" s="115">
        <f t="shared" si="1"/>
        <v>-916.56012745611031</v>
      </c>
      <c r="I20" s="115">
        <f t="shared" si="2"/>
        <v>-1161893.9931099373</v>
      </c>
      <c r="J20" s="4">
        <f t="shared" si="4"/>
        <v>8</v>
      </c>
    </row>
    <row r="21" spans="1:13" x14ac:dyDescent="0.25">
      <c r="A21" s="4">
        <f t="shared" si="3"/>
        <v>9</v>
      </c>
      <c r="B21" s="611" t="s">
        <v>1328</v>
      </c>
      <c r="C21" s="847">
        <f>('Stmt AF'!$G$17-'Stmt AF'!$E$17)/12</f>
        <v>-2186.5650099443155</v>
      </c>
      <c r="D21" s="115">
        <f t="shared" si="5"/>
        <v>-1169136.6152935612</v>
      </c>
      <c r="E21" s="619">
        <v>31</v>
      </c>
      <c r="F21" s="620">
        <f t="shared" si="0"/>
        <v>122</v>
      </c>
      <c r="G21" s="614">
        <f>F21/F13</f>
        <v>0.33424657534246577</v>
      </c>
      <c r="H21" s="115">
        <f t="shared" si="1"/>
        <v>-730.85186633755211</v>
      </c>
      <c r="I21" s="115">
        <f t="shared" si="2"/>
        <v>-1162624.8449762748</v>
      </c>
      <c r="J21" s="4">
        <f t="shared" si="4"/>
        <v>9</v>
      </c>
    </row>
    <row r="22" spans="1:13" x14ac:dyDescent="0.25">
      <c r="A22" s="4">
        <f t="shared" si="3"/>
        <v>10</v>
      </c>
      <c r="B22" s="611" t="s">
        <v>1329</v>
      </c>
      <c r="C22" s="847">
        <f>('Stmt AF'!$G$17-'Stmt AF'!$E$17)/12</f>
        <v>-2186.5650099443155</v>
      </c>
      <c r="D22" s="115">
        <f t="shared" si="5"/>
        <v>-1171323.1803035056</v>
      </c>
      <c r="E22" s="619">
        <v>30</v>
      </c>
      <c r="F22" s="620">
        <f t="shared" si="0"/>
        <v>92</v>
      </c>
      <c r="G22" s="614">
        <f>F22/F13</f>
        <v>0.25205479452054796</v>
      </c>
      <c r="H22" s="115">
        <f t="shared" si="1"/>
        <v>-551.13419428733437</v>
      </c>
      <c r="I22" s="115">
        <f t="shared" si="2"/>
        <v>-1163175.979170562</v>
      </c>
      <c r="J22" s="4">
        <f t="shared" si="4"/>
        <v>10</v>
      </c>
    </row>
    <row r="23" spans="1:13" x14ac:dyDescent="0.25">
      <c r="A23" s="4">
        <f t="shared" si="3"/>
        <v>11</v>
      </c>
      <c r="B23" s="611" t="s">
        <v>1330</v>
      </c>
      <c r="C23" s="847">
        <f>('Stmt AF'!$G$17-'Stmt AF'!$E$17)/12</f>
        <v>-2186.5650099443155</v>
      </c>
      <c r="D23" s="115">
        <f t="shared" si="5"/>
        <v>-1173509.74531345</v>
      </c>
      <c r="E23" s="619">
        <v>31</v>
      </c>
      <c r="F23" s="620">
        <f t="shared" si="0"/>
        <v>61</v>
      </c>
      <c r="G23" s="614">
        <f>F23/F13</f>
        <v>0.16712328767123288</v>
      </c>
      <c r="H23" s="115">
        <f t="shared" si="1"/>
        <v>-365.42593316877606</v>
      </c>
      <c r="I23" s="115">
        <f t="shared" si="2"/>
        <v>-1163541.4051037307</v>
      </c>
      <c r="J23" s="4">
        <f t="shared" si="4"/>
        <v>11</v>
      </c>
    </row>
    <row r="24" spans="1:13" x14ac:dyDescent="0.25">
      <c r="A24" s="4">
        <f t="shared" si="3"/>
        <v>12</v>
      </c>
      <c r="B24" s="611" t="s">
        <v>1331</v>
      </c>
      <c r="C24" s="847">
        <f>('Stmt AF'!$G$17-'Stmt AF'!$E$17)/12</f>
        <v>-2186.5650099443155</v>
      </c>
      <c r="D24" s="115">
        <f t="shared" si="5"/>
        <v>-1175696.3103233944</v>
      </c>
      <c r="E24" s="619">
        <v>30</v>
      </c>
      <c r="F24" s="620">
        <f t="shared" si="0"/>
        <v>31</v>
      </c>
      <c r="G24" s="614">
        <f>F24/F13</f>
        <v>8.4931506849315067E-2</v>
      </c>
      <c r="H24" s="115">
        <f t="shared" si="1"/>
        <v>-185.70826111855831</v>
      </c>
      <c r="I24" s="115">
        <f t="shared" si="2"/>
        <v>-1163727.1133648492</v>
      </c>
      <c r="J24" s="4">
        <f t="shared" si="4"/>
        <v>12</v>
      </c>
    </row>
    <row r="25" spans="1:13" x14ac:dyDescent="0.25">
      <c r="A25" s="4">
        <f t="shared" si="3"/>
        <v>13</v>
      </c>
      <c r="B25" s="611" t="s">
        <v>1332</v>
      </c>
      <c r="C25" s="847">
        <f>('Stmt AF'!$G$17-'Stmt AF'!$E$17)/12</f>
        <v>-2186.5650099443155</v>
      </c>
      <c r="D25" s="115">
        <f t="shared" si="5"/>
        <v>-1177882.8753333387</v>
      </c>
      <c r="E25" s="619">
        <v>31</v>
      </c>
      <c r="F25" s="620">
        <f t="shared" si="0"/>
        <v>0</v>
      </c>
      <c r="G25" s="614">
        <f>F25/F13</f>
        <v>0</v>
      </c>
      <c r="H25" s="115">
        <f t="shared" si="1"/>
        <v>0</v>
      </c>
      <c r="I25" s="141">
        <f t="shared" si="2"/>
        <v>-1163727.1133648492</v>
      </c>
      <c r="J25" s="4">
        <f t="shared" si="4"/>
        <v>13</v>
      </c>
    </row>
    <row r="26" spans="1:13" x14ac:dyDescent="0.25">
      <c r="B26" s="611" t="s">
        <v>1892</v>
      </c>
      <c r="C26" s="616"/>
      <c r="D26" s="139">
        <f>'Stmt AF'!G17</f>
        <v>-1177882.875333338</v>
      </c>
      <c r="E26" s="616"/>
      <c r="F26" s="616"/>
      <c r="G26" s="616"/>
      <c r="H26" s="616"/>
      <c r="I26" s="616"/>
      <c r="L26" s="1199"/>
      <c r="M26" s="1206"/>
    </row>
    <row r="29" spans="1:13" ht="18.75" x14ac:dyDescent="0.25">
      <c r="A29" s="252">
        <v>1</v>
      </c>
      <c r="B29" s="5" t="s">
        <v>1333</v>
      </c>
    </row>
    <row r="30" spans="1:13" ht="18.75" x14ac:dyDescent="0.25">
      <c r="A30" s="252">
        <v>2</v>
      </c>
      <c r="B30" s="5" t="s">
        <v>1334</v>
      </c>
    </row>
    <row r="73" spans="1:10" ht="18.75" x14ac:dyDescent="0.25">
      <c r="A73" s="252"/>
      <c r="J73" s="252"/>
    </row>
    <row r="74" spans="1:10" ht="18.75" x14ac:dyDescent="0.25">
      <c r="A74" s="252"/>
      <c r="J74" s="252"/>
    </row>
    <row r="75" spans="1:10" ht="18.75" x14ac:dyDescent="0.25">
      <c r="A75" s="252"/>
      <c r="J75" s="252"/>
    </row>
    <row r="76" spans="1:10" ht="18.75" x14ac:dyDescent="0.25">
      <c r="A76" s="252"/>
      <c r="J76" s="252"/>
    </row>
    <row r="77" spans="1:10" ht="18.75" x14ac:dyDescent="0.25">
      <c r="A77" s="252"/>
      <c r="J77" s="252"/>
    </row>
    <row r="78" spans="1:10" ht="18.75" x14ac:dyDescent="0.25">
      <c r="A78" s="252"/>
      <c r="J78" s="252"/>
    </row>
    <row r="79" spans="1:10" ht="18.75" x14ac:dyDescent="0.25">
      <c r="A79" s="252"/>
      <c r="J79" s="252"/>
    </row>
    <row r="131" spans="1:10" ht="18.75" x14ac:dyDescent="0.25">
      <c r="A131" s="252"/>
      <c r="J131" s="252"/>
    </row>
    <row r="132" spans="1:10" ht="18.75" x14ac:dyDescent="0.25">
      <c r="A132" s="252"/>
      <c r="J132" s="252"/>
    </row>
    <row r="171" spans="1:10" ht="18.75" x14ac:dyDescent="0.25">
      <c r="A171" s="252"/>
      <c r="J171" s="252"/>
    </row>
    <row r="174" spans="1:10" x14ac:dyDescent="0.25">
      <c r="A174" s="71"/>
      <c r="J174" s="71"/>
    </row>
  </sheetData>
  <mergeCells count="5">
    <mergeCell ref="B2:I2"/>
    <mergeCell ref="B4:I4"/>
    <mergeCell ref="B3:I3"/>
    <mergeCell ref="B6:I6"/>
    <mergeCell ref="B5:I5"/>
  </mergeCells>
  <pageMargins left="0.5" right="0.5" top="0.5" bottom="0.5" header="0.25" footer="0.25"/>
  <pageSetup scale="72" orientation="landscape" horizontalDpi="1200" verticalDpi="1200" r:id="rId1"/>
  <headerFooter scaleWithDoc="0">
    <oddFooter>&amp;C&amp;"Times New Roman,Regular"&amp;10&amp;A</oddFooter>
  </headerFooter>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K30"/>
  <sheetViews>
    <sheetView zoomScale="80" zoomScaleNormal="80" workbookViewId="0">
      <selection activeCell="A28" sqref="A28"/>
    </sheetView>
  </sheetViews>
  <sheetFormatPr defaultColWidth="9.28515625" defaultRowHeight="15.75" x14ac:dyDescent="0.25"/>
  <cols>
    <col min="1" max="1" width="5.28515625" style="217" customWidth="1"/>
    <col min="2" max="2" width="35.28515625" style="1" customWidth="1"/>
    <col min="3" max="3" width="18.5703125" style="86" customWidth="1"/>
    <col min="4" max="4" width="3.85546875" style="86" customWidth="1"/>
    <col min="5" max="5" width="28.85546875" style="86" customWidth="1"/>
    <col min="6" max="6" width="18.5703125" style="1" customWidth="1"/>
    <col min="7" max="7" width="4.42578125" style="1" customWidth="1"/>
    <col min="8" max="8" width="60.28515625" style="1" customWidth="1"/>
    <col min="9" max="9" width="5.28515625" style="217" customWidth="1"/>
    <col min="10" max="10" width="24" style="1" customWidth="1"/>
    <col min="11" max="11" width="11" style="1" customWidth="1"/>
    <col min="12" max="12" width="7.28515625" style="1" customWidth="1"/>
    <col min="13" max="13" width="9.28515625" style="1" customWidth="1"/>
    <col min="14" max="14" width="14" style="1" customWidth="1"/>
    <col min="15" max="15" width="13.42578125" style="1" customWidth="1"/>
    <col min="16" max="16384" width="9.28515625" style="1"/>
  </cols>
  <sheetData>
    <row r="2" spans="1:11" x14ac:dyDescent="0.25">
      <c r="B2" s="1316" t="s">
        <v>0</v>
      </c>
      <c r="C2" s="1316"/>
      <c r="D2" s="1316"/>
      <c r="E2" s="1316"/>
      <c r="F2" s="1316"/>
      <c r="G2" s="1316"/>
      <c r="H2" s="1316"/>
    </row>
    <row r="3" spans="1:11" x14ac:dyDescent="0.25">
      <c r="B3" s="1316" t="s">
        <v>255</v>
      </c>
      <c r="C3" s="1316"/>
      <c r="D3" s="1316"/>
      <c r="E3" s="1316"/>
      <c r="F3" s="1316"/>
      <c r="G3" s="1316"/>
      <c r="H3" s="1316"/>
    </row>
    <row r="4" spans="1:11" x14ac:dyDescent="0.25">
      <c r="B4" s="1316" t="s">
        <v>256</v>
      </c>
      <c r="C4" s="1316"/>
      <c r="D4" s="1316"/>
      <c r="E4" s="1316"/>
      <c r="F4" s="1316"/>
      <c r="G4" s="1316"/>
      <c r="H4" s="1316"/>
    </row>
    <row r="5" spans="1:11" x14ac:dyDescent="0.25">
      <c r="B5" s="1316" t="str">
        <f>'AD-1'!B5</f>
        <v>BASE PERIOD / TRUE UP PERIOD - 12/31/2025 PER BOOK</v>
      </c>
      <c r="C5" s="1316"/>
      <c r="D5" s="1316"/>
      <c r="E5" s="1316"/>
      <c r="F5" s="1316"/>
      <c r="G5" s="1316"/>
      <c r="H5" s="1316"/>
    </row>
    <row r="6" spans="1:11" x14ac:dyDescent="0.25">
      <c r="B6" s="1312" t="s">
        <v>4</v>
      </c>
      <c r="C6" s="1312"/>
      <c r="D6" s="1312"/>
      <c r="E6" s="1312"/>
      <c r="F6" s="1312"/>
      <c r="G6" s="1312"/>
      <c r="H6" s="1312"/>
    </row>
    <row r="7" spans="1:11" x14ac:dyDescent="0.25">
      <c r="B7" s="266"/>
      <c r="C7" s="267"/>
      <c r="D7" s="267"/>
      <c r="E7" s="267"/>
      <c r="F7" s="266"/>
      <c r="G7" s="266"/>
      <c r="H7" s="266"/>
    </row>
    <row r="8" spans="1:11" x14ac:dyDescent="0.25">
      <c r="B8" s="1316" t="s">
        <v>289</v>
      </c>
      <c r="C8" s="1316"/>
      <c r="D8" s="1316"/>
      <c r="E8" s="1316"/>
      <c r="F8" s="1316"/>
      <c r="G8" s="1316"/>
      <c r="H8" s="1316"/>
    </row>
    <row r="9" spans="1:11" x14ac:dyDescent="0.25">
      <c r="I9" s="4"/>
    </row>
    <row r="10" spans="1:11" x14ac:dyDescent="0.25">
      <c r="B10" s="924"/>
      <c r="C10" s="1077" t="s">
        <v>180</v>
      </c>
      <c r="D10" s="268"/>
      <c r="E10" s="925"/>
      <c r="F10" s="1077"/>
      <c r="G10" s="268"/>
      <c r="H10" s="925"/>
      <c r="I10" s="4"/>
    </row>
    <row r="11" spans="1:11" x14ac:dyDescent="0.25">
      <c r="B11" s="269"/>
      <c r="C11" s="217" t="s">
        <v>290</v>
      </c>
      <c r="D11" s="273"/>
      <c r="E11" s="269"/>
      <c r="F11" s="217" t="s">
        <v>290</v>
      </c>
      <c r="G11" s="273"/>
      <c r="H11" s="269"/>
      <c r="I11" s="4"/>
    </row>
    <row r="12" spans="1:11" x14ac:dyDescent="0.25">
      <c r="A12" s="4" t="s">
        <v>5</v>
      </c>
      <c r="B12" s="272"/>
      <c r="C12" s="217" t="s">
        <v>291</v>
      </c>
      <c r="D12" s="273"/>
      <c r="E12" s="269"/>
      <c r="F12" s="217" t="s">
        <v>291</v>
      </c>
      <c r="G12" s="273"/>
      <c r="H12" s="269"/>
      <c r="I12" s="4" t="s">
        <v>5</v>
      </c>
    </row>
    <row r="13" spans="1:11" ht="18.75" x14ac:dyDescent="0.25">
      <c r="A13" s="4" t="s">
        <v>6</v>
      </c>
      <c r="B13" s="274" t="s">
        <v>260</v>
      </c>
      <c r="C13" s="927" t="s">
        <v>2081</v>
      </c>
      <c r="D13" s="275"/>
      <c r="E13" s="274" t="s">
        <v>8</v>
      </c>
      <c r="F13" s="927" t="s">
        <v>2084</v>
      </c>
      <c r="G13" s="275"/>
      <c r="H13" s="274" t="s">
        <v>8</v>
      </c>
      <c r="I13" s="4" t="s">
        <v>6</v>
      </c>
    </row>
    <row r="14" spans="1:11" x14ac:dyDescent="0.25">
      <c r="A14" s="4"/>
      <c r="B14" s="286"/>
      <c r="C14" s="978"/>
      <c r="D14" s="273"/>
      <c r="E14" s="269"/>
      <c r="F14" s="217"/>
      <c r="G14" s="273"/>
      <c r="H14" s="269"/>
      <c r="I14" s="4"/>
    </row>
    <row r="15" spans="1:11" x14ac:dyDescent="0.25">
      <c r="A15" s="4">
        <v>1</v>
      </c>
      <c r="B15" s="928" t="str">
        <f>'AD-1'!B14</f>
        <v>Dec-24</v>
      </c>
      <c r="C15" s="43">
        <v>12812601.24348997</v>
      </c>
      <c r="D15" s="1086" t="s">
        <v>2062</v>
      </c>
      <c r="E15" s="938" t="s">
        <v>263</v>
      </c>
      <c r="F15" s="215">
        <v>13028441.029023826</v>
      </c>
      <c r="G15" s="1086" t="s">
        <v>2062</v>
      </c>
      <c r="H15" s="938" t="s">
        <v>264</v>
      </c>
      <c r="I15" s="4">
        <f>A15</f>
        <v>1</v>
      </c>
      <c r="K15" s="276"/>
    </row>
    <row r="16" spans="1:11" x14ac:dyDescent="0.25">
      <c r="A16" s="4">
        <f>A15+1</f>
        <v>2</v>
      </c>
      <c r="B16" s="931"/>
      <c r="C16" s="6"/>
      <c r="D16" s="52"/>
      <c r="E16" s="938"/>
      <c r="F16" s="11"/>
      <c r="G16" s="65"/>
      <c r="H16" s="938"/>
      <c r="I16" s="4">
        <f>I15+1</f>
        <v>2</v>
      </c>
    </row>
    <row r="17" spans="1:11" x14ac:dyDescent="0.25">
      <c r="A17" s="4">
        <f t="shared" ref="A17:A21" si="0">A16+1</f>
        <v>3</v>
      </c>
      <c r="B17" s="928" t="str">
        <f>'AD-1'!B26</f>
        <v>Dec-25</v>
      </c>
      <c r="C17" s="6">
        <v>13065009.55110997</v>
      </c>
      <c r="D17" s="52"/>
      <c r="E17" s="938" t="s">
        <v>263</v>
      </c>
      <c r="F17" s="6">
        <v>13259817.22608323</v>
      </c>
      <c r="G17" s="1086" t="s">
        <v>2062</v>
      </c>
      <c r="H17" s="938" t="s">
        <v>275</v>
      </c>
      <c r="I17" s="4">
        <f t="shared" ref="I17" si="1">I16+1</f>
        <v>3</v>
      </c>
      <c r="K17" s="276"/>
    </row>
    <row r="18" spans="1:11" x14ac:dyDescent="0.25">
      <c r="A18" s="4">
        <f t="shared" si="0"/>
        <v>4</v>
      </c>
      <c r="B18" s="288"/>
      <c r="C18" s="1039"/>
      <c r="D18" s="61"/>
      <c r="E18" s="289"/>
      <c r="F18" s="1039"/>
      <c r="G18" s="61"/>
      <c r="H18" s="289"/>
      <c r="I18" s="4">
        <f t="shared" ref="I18:I21" si="2">I17+1</f>
        <v>4</v>
      </c>
    </row>
    <row r="19" spans="1:11" x14ac:dyDescent="0.25">
      <c r="A19" s="4">
        <f>A18+1</f>
        <v>5</v>
      </c>
      <c r="B19" s="277"/>
      <c r="D19" s="60"/>
      <c r="E19" s="277"/>
      <c r="F19" s="86"/>
      <c r="G19" s="60"/>
      <c r="H19" s="277"/>
      <c r="I19" s="4">
        <f>I18+1</f>
        <v>5</v>
      </c>
    </row>
    <row r="20" spans="1:11" x14ac:dyDescent="0.25">
      <c r="A20" s="4">
        <f t="shared" si="0"/>
        <v>6</v>
      </c>
      <c r="B20" s="277" t="s">
        <v>292</v>
      </c>
      <c r="C20" s="43">
        <f>(C15+C17)/2</f>
        <v>12938805.39729997</v>
      </c>
      <c r="D20" s="55"/>
      <c r="E20" s="939" t="s">
        <v>293</v>
      </c>
      <c r="F20" s="43">
        <f>(F15+F17)/2</f>
        <v>13144129.127553528</v>
      </c>
      <c r="G20" s="1086"/>
      <c r="H20" s="932" t="s">
        <v>293</v>
      </c>
      <c r="I20" s="4">
        <f t="shared" si="2"/>
        <v>6</v>
      </c>
    </row>
    <row r="21" spans="1:11" x14ac:dyDescent="0.25">
      <c r="A21" s="4">
        <f t="shared" si="0"/>
        <v>7</v>
      </c>
      <c r="B21" s="116"/>
      <c r="C21" s="1079"/>
      <c r="D21" s="56"/>
      <c r="E21" s="92"/>
      <c r="F21" s="1079"/>
      <c r="G21" s="56"/>
      <c r="H21" s="66"/>
      <c r="I21" s="4">
        <f t="shared" si="2"/>
        <v>7</v>
      </c>
    </row>
    <row r="22" spans="1:11" x14ac:dyDescent="0.25">
      <c r="B22" s="31"/>
      <c r="C22" s="31"/>
      <c r="D22" s="31"/>
      <c r="E22" s="31"/>
      <c r="F22" s="31"/>
      <c r="G22" s="31"/>
      <c r="H22" s="31"/>
    </row>
    <row r="23" spans="1:11" x14ac:dyDescent="0.25">
      <c r="B23" s="31"/>
      <c r="C23" s="31"/>
      <c r="D23" s="31"/>
      <c r="E23" s="31"/>
      <c r="F23" s="31"/>
      <c r="G23" s="31"/>
      <c r="H23" s="31"/>
    </row>
    <row r="24" spans="1:11" x14ac:dyDescent="0.25">
      <c r="A24" s="1086" t="s">
        <v>2062</v>
      </c>
      <c r="B24" s="1" t="str">
        <f>'Stmt AD'!B48</f>
        <v xml:space="preserve">Items in BOLD do not tie to the TO6 Cycle 2 included in the Offer of Settlement filing per ER25-270-002 and/or the 2025 FERC Form 1 filed on April 17, 2026 due to AFUDC adjustments made in </v>
      </c>
      <c r="C24" s="1"/>
      <c r="D24" s="1"/>
      <c r="E24" s="1"/>
    </row>
    <row r="25" spans="1:11" x14ac:dyDescent="0.25">
      <c r="B25" s="1" t="str">
        <f>'Stmt AD'!B49</f>
        <v>response to settlement negotiations and other adjustments from the Transmission Project Review process.</v>
      </c>
      <c r="C25" s="1"/>
      <c r="D25" s="1"/>
      <c r="E25" s="1"/>
      <c r="F25" s="279"/>
      <c r="G25" s="279"/>
    </row>
    <row r="26" spans="1:11" ht="18.75" x14ac:dyDescent="0.25">
      <c r="A26" s="265">
        <v>1</v>
      </c>
      <c r="B26" s="31" t="s">
        <v>2086</v>
      </c>
      <c r="C26" s="1"/>
      <c r="D26" s="1"/>
      <c r="E26" s="1"/>
      <c r="F26" s="279"/>
      <c r="G26" s="279"/>
    </row>
    <row r="27" spans="1:11" ht="18.75" x14ac:dyDescent="0.25">
      <c r="A27" s="265">
        <v>2</v>
      </c>
      <c r="B27" s="31" t="s">
        <v>281</v>
      </c>
      <c r="C27" s="31"/>
      <c r="D27" s="31"/>
      <c r="E27" s="31"/>
      <c r="F27" s="31"/>
      <c r="G27" s="31"/>
      <c r="H27" s="31"/>
    </row>
    <row r="28" spans="1:11" x14ac:dyDescent="0.25">
      <c r="B28" s="31" t="s">
        <v>282</v>
      </c>
      <c r="C28" s="31"/>
      <c r="D28" s="31"/>
      <c r="E28" s="31"/>
      <c r="F28" s="31"/>
      <c r="G28" s="31"/>
      <c r="H28" s="31"/>
    </row>
    <row r="29" spans="1:11" x14ac:dyDescent="0.25">
      <c r="A29" s="1"/>
      <c r="C29" s="31"/>
      <c r="D29" s="31"/>
      <c r="E29" s="31"/>
      <c r="F29" s="31"/>
      <c r="G29" s="31"/>
      <c r="H29" s="31"/>
    </row>
    <row r="30" spans="1:11" x14ac:dyDescent="0.25">
      <c r="C30" s="31"/>
      <c r="D30" s="31"/>
      <c r="E30" s="31"/>
      <c r="F30" s="31"/>
      <c r="G30" s="31"/>
      <c r="H30" s="31"/>
    </row>
  </sheetData>
  <mergeCells count="6">
    <mergeCell ref="B8:H8"/>
    <mergeCell ref="B2:H2"/>
    <mergeCell ref="B3:H3"/>
    <mergeCell ref="B4:H4"/>
    <mergeCell ref="B5:H5"/>
    <mergeCell ref="B6:H6"/>
  </mergeCells>
  <printOptions horizontalCentered="1"/>
  <pageMargins left="0.5" right="0.5" top="0.5" bottom="0.5" header="0.25" footer="0.25"/>
  <pageSetup scale="62" orientation="landscape" r:id="rId1"/>
  <headerFooter scaleWithDoc="0">
    <oddFooter>&amp;C&amp;"Times New Roman,Regular"&amp;10&amp;A</oddFooter>
  </headerFooter>
  <customProperties>
    <customPr name="_pios_id" r:id="rId2"/>
  </customPropertie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CD147-BCA2-4BC0-A2C0-CBED007FE4F8}">
  <sheetPr>
    <pageSetUpPr fitToPage="1"/>
  </sheetPr>
  <dimension ref="A1:N55"/>
  <sheetViews>
    <sheetView topLeftCell="A8" zoomScale="80" zoomScaleNormal="80" workbookViewId="0">
      <selection activeCell="I45" sqref="I45"/>
    </sheetView>
  </sheetViews>
  <sheetFormatPr defaultColWidth="8.7109375" defaultRowHeight="15.75" x14ac:dyDescent="0.25"/>
  <cols>
    <col min="1" max="1" width="5.28515625" style="4" bestFit="1" customWidth="1"/>
    <col min="2" max="2" width="55.7109375" style="31" customWidth="1"/>
    <col min="3" max="3" width="40.28515625" style="4" bestFit="1" customWidth="1"/>
    <col min="4" max="4" width="1.5703125" style="31" customWidth="1"/>
    <col min="5" max="5" width="16.7109375" style="31" customWidth="1"/>
    <col min="6" max="6" width="1.5703125" style="31" customWidth="1"/>
    <col min="7" max="7" width="16.7109375" style="31" customWidth="1"/>
    <col min="8" max="8" width="1.5703125" style="31" customWidth="1"/>
    <col min="9" max="9" width="16.7109375" style="31" customWidth="1"/>
    <col min="10" max="10" width="1.5703125" style="31" customWidth="1"/>
    <col min="11" max="11" width="34.5703125" style="31" customWidth="1"/>
    <col min="12" max="12" width="5.28515625" style="4" bestFit="1" customWidth="1"/>
    <col min="13" max="13" width="8.7109375" style="31"/>
    <col min="14" max="14" width="38.28515625" style="31" customWidth="1"/>
    <col min="15" max="16384" width="8.7109375" style="31"/>
  </cols>
  <sheetData>
    <row r="1" spans="1:14" x14ac:dyDescent="0.25">
      <c r="A1" s="4" t="s">
        <v>1</v>
      </c>
    </row>
    <row r="2" spans="1:14" x14ac:dyDescent="0.25">
      <c r="A2" s="31"/>
      <c r="B2" s="1316" t="s">
        <v>0</v>
      </c>
      <c r="C2" s="1316"/>
      <c r="D2" s="1316"/>
      <c r="E2" s="1316"/>
      <c r="F2" s="1316"/>
      <c r="G2" s="1316"/>
      <c r="H2" s="1316"/>
      <c r="I2" s="1316"/>
      <c r="J2" s="1316"/>
      <c r="K2" s="1316"/>
      <c r="N2" s="255"/>
    </row>
    <row r="3" spans="1:14" x14ac:dyDescent="0.25">
      <c r="A3" s="31"/>
      <c r="B3" s="1316" t="s">
        <v>208</v>
      </c>
      <c r="C3" s="1316"/>
      <c r="D3" s="1316"/>
      <c r="E3" s="1316"/>
      <c r="F3" s="1316"/>
      <c r="G3" s="1316"/>
      <c r="H3" s="1316"/>
      <c r="I3" s="1316"/>
      <c r="J3" s="1316"/>
      <c r="K3" s="1316"/>
      <c r="N3" s="255"/>
    </row>
    <row r="4" spans="1:14" x14ac:dyDescent="0.25">
      <c r="A4" s="31"/>
      <c r="B4" s="1316" t="s">
        <v>209</v>
      </c>
      <c r="C4" s="1316"/>
      <c r="D4" s="1316"/>
      <c r="E4" s="1316"/>
      <c r="F4" s="1316"/>
      <c r="G4" s="1316"/>
      <c r="H4" s="1313"/>
      <c r="I4" s="1313"/>
      <c r="J4" s="1313"/>
      <c r="K4" s="1313"/>
    </row>
    <row r="5" spans="1:14" x14ac:dyDescent="0.25">
      <c r="B5" s="1314" t="s">
        <v>2037</v>
      </c>
      <c r="C5" s="1314"/>
      <c r="D5" s="1314"/>
      <c r="E5" s="1314"/>
      <c r="F5" s="1314"/>
      <c r="G5" s="1314"/>
      <c r="H5" s="1315"/>
      <c r="I5" s="1315"/>
      <c r="J5" s="1315"/>
      <c r="K5" s="1315"/>
      <c r="N5" s="1"/>
    </row>
    <row r="6" spans="1:14" x14ac:dyDescent="0.25">
      <c r="B6" s="1312" t="s">
        <v>4</v>
      </c>
      <c r="C6" s="1313"/>
      <c r="D6" s="1313"/>
      <c r="E6" s="1313"/>
      <c r="F6" s="1313"/>
      <c r="G6" s="1313"/>
      <c r="H6" s="1313"/>
      <c r="I6" s="1313"/>
      <c r="J6" s="1313"/>
      <c r="K6" s="1313"/>
      <c r="N6" s="255"/>
    </row>
    <row r="7" spans="1:14" x14ac:dyDescent="0.25">
      <c r="B7" s="261"/>
      <c r="C7" s="217"/>
      <c r="D7" s="1"/>
      <c r="E7" s="1"/>
      <c r="F7" s="1"/>
      <c r="G7" s="1"/>
      <c r="H7" s="1"/>
      <c r="I7" s="1"/>
      <c r="J7" s="1"/>
      <c r="K7" s="1"/>
      <c r="N7" s="255"/>
    </row>
    <row r="8" spans="1:14" x14ac:dyDescent="0.25">
      <c r="A8" s="4" t="s">
        <v>5</v>
      </c>
      <c r="B8" s="217"/>
      <c r="C8" s="4" t="s">
        <v>210</v>
      </c>
      <c r="D8" s="217"/>
      <c r="E8" s="34" t="s">
        <v>187</v>
      </c>
      <c r="F8" s="4"/>
      <c r="G8" s="34" t="s">
        <v>188</v>
      </c>
      <c r="H8" s="4"/>
      <c r="I8" s="34" t="s">
        <v>211</v>
      </c>
      <c r="J8" s="217"/>
      <c r="L8" s="4" t="s">
        <v>5</v>
      </c>
    </row>
    <row r="9" spans="1:14" x14ac:dyDescent="0.25">
      <c r="A9" s="4" t="s">
        <v>6</v>
      </c>
      <c r="B9" s="217"/>
      <c r="C9" s="848" t="s">
        <v>212</v>
      </c>
      <c r="D9" s="217"/>
      <c r="E9" s="920">
        <v>45657</v>
      </c>
      <c r="F9" s="217"/>
      <c r="G9" s="921">
        <v>46022</v>
      </c>
      <c r="H9" s="217"/>
      <c r="I9" s="849" t="s">
        <v>213</v>
      </c>
      <c r="J9" s="217"/>
      <c r="K9" s="848" t="s">
        <v>8</v>
      </c>
      <c r="L9" s="4" t="s">
        <v>6</v>
      </c>
    </row>
    <row r="10" spans="1:14" x14ac:dyDescent="0.25">
      <c r="E10" s="262"/>
      <c r="G10" s="262"/>
      <c r="H10" s="262"/>
      <c r="I10" s="262"/>
      <c r="J10" s="262"/>
      <c r="K10" s="262"/>
    </row>
    <row r="11" spans="1:14" ht="18.75" x14ac:dyDescent="0.25">
      <c r="A11" s="4">
        <v>1</v>
      </c>
      <c r="B11" s="31" t="s">
        <v>214</v>
      </c>
      <c r="C11" s="4" t="s">
        <v>215</v>
      </c>
      <c r="E11" s="38"/>
      <c r="G11" s="38"/>
      <c r="H11" s="39"/>
      <c r="I11" s="40">
        <f>'AD-1'!F31</f>
        <v>605411.75423846149</v>
      </c>
      <c r="J11" s="71"/>
      <c r="K11" s="4" t="s">
        <v>216</v>
      </c>
      <c r="L11" s="4">
        <f>A11</f>
        <v>1</v>
      </c>
    </row>
    <row r="12" spans="1:14" x14ac:dyDescent="0.25">
      <c r="A12" s="4">
        <f t="shared" ref="A12:A45" si="0">+A11+1</f>
        <v>2</v>
      </c>
      <c r="B12" s="31" t="s">
        <v>1</v>
      </c>
      <c r="E12" s="38"/>
      <c r="G12" s="38"/>
      <c r="H12" s="41"/>
      <c r="I12" s="38"/>
      <c r="J12" s="41"/>
      <c r="K12" s="4"/>
      <c r="L12" s="4">
        <f t="shared" ref="L12:L45" si="1">+L11+1</f>
        <v>2</v>
      </c>
      <c r="N12" s="807"/>
    </row>
    <row r="13" spans="1:14" ht="18.75" x14ac:dyDescent="0.25">
      <c r="A13" s="4">
        <f t="shared" si="0"/>
        <v>3</v>
      </c>
      <c r="B13" s="31" t="s">
        <v>217</v>
      </c>
      <c r="C13" s="4" t="s">
        <v>215</v>
      </c>
      <c r="E13" s="38"/>
      <c r="G13" s="38"/>
      <c r="H13" s="39"/>
      <c r="I13" s="42">
        <f>'AD-2'!E31</f>
        <v>0</v>
      </c>
      <c r="J13" s="71"/>
      <c r="K13" s="4" t="s">
        <v>218</v>
      </c>
      <c r="L13" s="4">
        <f t="shared" si="1"/>
        <v>3</v>
      </c>
    </row>
    <row r="14" spans="1:14" x14ac:dyDescent="0.25">
      <c r="A14" s="4">
        <f t="shared" si="0"/>
        <v>4</v>
      </c>
      <c r="E14" s="38"/>
      <c r="F14" s="1"/>
      <c r="G14" s="38"/>
      <c r="H14" s="41"/>
      <c r="I14" s="38"/>
      <c r="J14" s="41"/>
      <c r="K14" s="4"/>
      <c r="L14" s="4">
        <f t="shared" si="1"/>
        <v>4</v>
      </c>
    </row>
    <row r="15" spans="1:14" ht="18.75" x14ac:dyDescent="0.25">
      <c r="A15" s="4">
        <f t="shared" si="0"/>
        <v>5</v>
      </c>
      <c r="B15" s="31" t="s">
        <v>219</v>
      </c>
      <c r="E15" s="38"/>
      <c r="F15" s="1"/>
      <c r="G15" s="38"/>
      <c r="H15" s="39"/>
      <c r="I15" s="42">
        <f>'AD-3'!E31</f>
        <v>0</v>
      </c>
      <c r="J15" s="41"/>
      <c r="K15" s="4" t="s">
        <v>220</v>
      </c>
      <c r="L15" s="4">
        <f t="shared" si="1"/>
        <v>5</v>
      </c>
    </row>
    <row r="16" spans="1:14" x14ac:dyDescent="0.25">
      <c r="A16" s="4">
        <f t="shared" si="0"/>
        <v>6</v>
      </c>
      <c r="E16" s="38"/>
      <c r="F16" s="1"/>
      <c r="G16" s="38"/>
      <c r="H16" s="41"/>
      <c r="I16" s="38"/>
      <c r="J16" s="41"/>
      <c r="K16" s="4"/>
      <c r="L16" s="4">
        <f t="shared" si="1"/>
        <v>6</v>
      </c>
    </row>
    <row r="17" spans="1:14" ht="18.75" x14ac:dyDescent="0.25">
      <c r="A17" s="4">
        <f t="shared" si="0"/>
        <v>7</v>
      </c>
      <c r="B17" s="31" t="s">
        <v>221</v>
      </c>
      <c r="C17" s="4" t="s">
        <v>215</v>
      </c>
      <c r="E17" s="38"/>
      <c r="F17" s="1"/>
      <c r="G17" s="38"/>
      <c r="H17" s="39"/>
      <c r="I17" s="42">
        <f>'AD-4'!F31</f>
        <v>619847.75273230788</v>
      </c>
      <c r="J17" s="71"/>
      <c r="K17" s="4" t="s">
        <v>222</v>
      </c>
      <c r="L17" s="4">
        <f t="shared" si="1"/>
        <v>7</v>
      </c>
      <c r="N17" s="871"/>
    </row>
    <row r="18" spans="1:14" x14ac:dyDescent="0.25">
      <c r="A18" s="4">
        <f t="shared" si="0"/>
        <v>8</v>
      </c>
      <c r="E18" s="38"/>
      <c r="F18" s="1"/>
      <c r="G18" s="38"/>
      <c r="H18" s="41"/>
      <c r="I18" s="38"/>
      <c r="J18" s="41"/>
      <c r="K18" s="4"/>
      <c r="L18" s="4">
        <f t="shared" si="1"/>
        <v>8</v>
      </c>
      <c r="N18" s="871"/>
    </row>
    <row r="19" spans="1:14" ht="18.75" x14ac:dyDescent="0.25">
      <c r="A19" s="4">
        <f>+A18+1</f>
        <v>9</v>
      </c>
      <c r="B19" s="31" t="s">
        <v>223</v>
      </c>
      <c r="C19" s="4" t="s">
        <v>224</v>
      </c>
      <c r="E19" s="40">
        <f>'AD-5'!F15</f>
        <v>13028441.029023826</v>
      </c>
      <c r="F19" s="43"/>
      <c r="G19" s="40">
        <f>'AD-5'!F17</f>
        <v>13259817.22608323</v>
      </c>
      <c r="H19" s="39"/>
      <c r="I19" s="38">
        <f>(E19+G19)/2</f>
        <v>13144129.127553528</v>
      </c>
      <c r="J19" s="41"/>
      <c r="K19" s="4" t="s">
        <v>225</v>
      </c>
      <c r="L19" s="4">
        <f>+L18+1</f>
        <v>9</v>
      </c>
      <c r="N19" s="871"/>
    </row>
    <row r="20" spans="1:14" x14ac:dyDescent="0.25">
      <c r="A20" s="4">
        <f t="shared" si="0"/>
        <v>10</v>
      </c>
      <c r="E20" s="38"/>
      <c r="G20" s="38"/>
      <c r="H20" s="41"/>
      <c r="I20" s="38"/>
      <c r="J20" s="41"/>
      <c r="K20" s="4"/>
      <c r="L20" s="4">
        <f t="shared" si="1"/>
        <v>10</v>
      </c>
      <c r="N20" s="871"/>
    </row>
    <row r="21" spans="1:14" ht="18.75" x14ac:dyDescent="0.25">
      <c r="A21" s="4">
        <f t="shared" si="0"/>
        <v>11</v>
      </c>
      <c r="B21" s="31" t="s">
        <v>226</v>
      </c>
      <c r="C21" s="4" t="s">
        <v>215</v>
      </c>
      <c r="E21" s="39"/>
      <c r="G21" s="39"/>
      <c r="H21" s="39"/>
      <c r="I21" s="42">
        <f>'AD-6'!F31</f>
        <v>8948474.2530016713</v>
      </c>
      <c r="J21" s="71"/>
      <c r="K21" s="4" t="s">
        <v>227</v>
      </c>
      <c r="L21" s="4">
        <f t="shared" si="1"/>
        <v>11</v>
      </c>
      <c r="N21" s="871"/>
    </row>
    <row r="22" spans="1:14" x14ac:dyDescent="0.25">
      <c r="A22" s="4">
        <f t="shared" si="0"/>
        <v>12</v>
      </c>
      <c r="E22" s="38"/>
      <c r="G22" s="38"/>
      <c r="H22" s="41"/>
      <c r="I22" s="38"/>
      <c r="J22" s="41"/>
      <c r="K22" s="4"/>
      <c r="L22" s="4">
        <f t="shared" si="1"/>
        <v>12</v>
      </c>
      <c r="N22" s="871"/>
    </row>
    <row r="23" spans="1:14" ht="18.75" x14ac:dyDescent="0.25">
      <c r="A23" s="4">
        <f t="shared" si="0"/>
        <v>13</v>
      </c>
      <c r="B23" s="31" t="s">
        <v>228</v>
      </c>
      <c r="E23" s="39"/>
      <c r="G23" s="39"/>
      <c r="H23" s="39"/>
      <c r="I23" s="42">
        <f>'AD-7'!E32</f>
        <v>0</v>
      </c>
      <c r="J23" s="41"/>
      <c r="K23" s="4" t="s">
        <v>229</v>
      </c>
      <c r="L23" s="4">
        <f t="shared" si="1"/>
        <v>13</v>
      </c>
      <c r="N23" s="871"/>
    </row>
    <row r="24" spans="1:14" x14ac:dyDescent="0.25">
      <c r="A24" s="4">
        <f t="shared" si="0"/>
        <v>14</v>
      </c>
      <c r="E24" s="38"/>
      <c r="G24" s="38"/>
      <c r="H24" s="41"/>
      <c r="I24" s="38"/>
      <c r="J24" s="41"/>
      <c r="K24" s="4"/>
      <c r="L24" s="4">
        <f t="shared" si="1"/>
        <v>14</v>
      </c>
      <c r="N24" s="871"/>
    </row>
    <row r="25" spans="1:14" ht="18.75" x14ac:dyDescent="0.25">
      <c r="A25" s="4">
        <f>+A24+1</f>
        <v>15</v>
      </c>
      <c r="B25" s="31" t="s">
        <v>230</v>
      </c>
      <c r="C25" s="4" t="s">
        <v>224</v>
      </c>
      <c r="D25" s="254"/>
      <c r="E25" s="42">
        <f>'AD-8'!C14</f>
        <v>0</v>
      </c>
      <c r="F25" s="1"/>
      <c r="G25" s="42">
        <f>'AD-8'!C16</f>
        <v>0</v>
      </c>
      <c r="H25" s="41"/>
      <c r="I25" s="38">
        <f>(E25+G25)/2</f>
        <v>0</v>
      </c>
      <c r="J25" s="263"/>
      <c r="K25" s="90" t="s">
        <v>231</v>
      </c>
      <c r="L25" s="4">
        <f>+L24+1</f>
        <v>15</v>
      </c>
    </row>
    <row r="26" spans="1:14" x14ac:dyDescent="0.25">
      <c r="A26" s="4">
        <f t="shared" si="0"/>
        <v>16</v>
      </c>
      <c r="E26" s="38"/>
      <c r="G26" s="38"/>
      <c r="H26" s="41"/>
      <c r="I26" s="38"/>
      <c r="J26" s="41"/>
      <c r="K26" s="4"/>
      <c r="L26" s="4">
        <f t="shared" si="1"/>
        <v>16</v>
      </c>
    </row>
    <row r="27" spans="1:14" ht="18.75" x14ac:dyDescent="0.25">
      <c r="A27" s="4">
        <f t="shared" si="0"/>
        <v>17</v>
      </c>
      <c r="B27" s="31" t="s">
        <v>232</v>
      </c>
      <c r="C27" s="4" t="s">
        <v>224</v>
      </c>
      <c r="E27" s="42">
        <f>'AD-9'!C14</f>
        <v>289481.7892100013</v>
      </c>
      <c r="F27" s="1"/>
      <c r="G27" s="42">
        <f>'AD-9'!C16</f>
        <v>325936.31200000027</v>
      </c>
      <c r="H27" s="39"/>
      <c r="I27" s="38">
        <f>(E27+G27)/2</f>
        <v>307709.05060500081</v>
      </c>
      <c r="J27" s="41"/>
      <c r="K27" s="4" t="s">
        <v>233</v>
      </c>
      <c r="L27" s="4">
        <f t="shared" si="1"/>
        <v>17</v>
      </c>
    </row>
    <row r="28" spans="1:14" x14ac:dyDescent="0.25">
      <c r="A28" s="4">
        <f t="shared" si="0"/>
        <v>18</v>
      </c>
      <c r="E28" s="38"/>
      <c r="F28" s="1"/>
      <c r="G28" s="38"/>
      <c r="H28" s="41"/>
      <c r="I28" s="38"/>
      <c r="J28" s="41"/>
      <c r="K28" s="4"/>
      <c r="L28" s="4">
        <f t="shared" si="1"/>
        <v>18</v>
      </c>
    </row>
    <row r="29" spans="1:14" ht="18.75" x14ac:dyDescent="0.25">
      <c r="A29" s="4">
        <f t="shared" si="0"/>
        <v>19</v>
      </c>
      <c r="B29" s="31" t="s">
        <v>234</v>
      </c>
      <c r="E29" s="42">
        <f>'AD-10'!D15</f>
        <v>1958808.0183976002</v>
      </c>
      <c r="F29" s="1"/>
      <c r="G29" s="42">
        <f>'AD-10'!D19</f>
        <v>1983122.6673092998</v>
      </c>
      <c r="H29" s="39"/>
      <c r="I29" s="922">
        <f>(E29+G29)/2</f>
        <v>1970965.34285345</v>
      </c>
      <c r="J29" s="41"/>
      <c r="K29" s="4" t="s">
        <v>235</v>
      </c>
      <c r="L29" s="4">
        <f t="shared" si="1"/>
        <v>19</v>
      </c>
    </row>
    <row r="30" spans="1:14" x14ac:dyDescent="0.25">
      <c r="A30" s="4">
        <f t="shared" si="0"/>
        <v>20</v>
      </c>
      <c r="E30" s="38"/>
      <c r="F30" s="1"/>
      <c r="G30" s="38"/>
      <c r="H30" s="41"/>
      <c r="I30" s="38"/>
      <c r="J30" s="41"/>
      <c r="K30" s="4"/>
      <c r="L30" s="4">
        <f t="shared" si="1"/>
        <v>20</v>
      </c>
    </row>
    <row r="31" spans="1:14" ht="16.5" thickBot="1" x14ac:dyDescent="0.3">
      <c r="A31" s="4">
        <f t="shared" si="0"/>
        <v>21</v>
      </c>
      <c r="B31" s="31" t="s">
        <v>236</v>
      </c>
      <c r="E31" s="35"/>
      <c r="F31" s="43"/>
      <c r="G31" s="35"/>
      <c r="H31" s="44"/>
      <c r="I31" s="37">
        <f>I11+I13+I15+I17+I19+I21+I23+I25+I27+I29</f>
        <v>25596537.280984417</v>
      </c>
      <c r="J31" s="71"/>
      <c r="K31" s="4" t="s">
        <v>237</v>
      </c>
      <c r="L31" s="4">
        <f t="shared" si="1"/>
        <v>21</v>
      </c>
      <c r="M31" s="264"/>
    </row>
    <row r="32" spans="1:14" ht="16.5" thickTop="1" x14ac:dyDescent="0.25">
      <c r="A32" s="4">
        <f t="shared" si="0"/>
        <v>22</v>
      </c>
      <c r="E32" s="45"/>
      <c r="G32" s="45"/>
      <c r="H32" s="46"/>
      <c r="I32" s="45"/>
      <c r="J32" s="46"/>
      <c r="K32" s="4" t="s">
        <v>1</v>
      </c>
      <c r="L32" s="4">
        <f t="shared" si="1"/>
        <v>22</v>
      </c>
    </row>
    <row r="33" spans="1:13" x14ac:dyDescent="0.25">
      <c r="A33" s="4">
        <f t="shared" si="0"/>
        <v>23</v>
      </c>
      <c r="B33" s="31" t="s">
        <v>238</v>
      </c>
      <c r="E33" s="47"/>
      <c r="G33" s="47"/>
      <c r="H33" s="46"/>
      <c r="I33" s="923">
        <f>'True-Up Stmt AI'!E25</f>
        <v>0.21148052316352248</v>
      </c>
      <c r="J33" s="46"/>
      <c r="K33" s="4" t="s">
        <v>239</v>
      </c>
      <c r="L33" s="4">
        <f t="shared" si="1"/>
        <v>23</v>
      </c>
    </row>
    <row r="34" spans="1:13" x14ac:dyDescent="0.25">
      <c r="A34" s="4">
        <f t="shared" si="0"/>
        <v>24</v>
      </c>
      <c r="E34" s="45"/>
      <c r="G34" s="45"/>
      <c r="H34" s="46"/>
      <c r="I34" s="45"/>
      <c r="J34" s="46"/>
      <c r="K34" s="4"/>
      <c r="L34" s="4">
        <f t="shared" si="1"/>
        <v>24</v>
      </c>
    </row>
    <row r="35" spans="1:13" x14ac:dyDescent="0.25">
      <c r="A35" s="4">
        <f t="shared" si="0"/>
        <v>25</v>
      </c>
      <c r="B35" s="31" t="s">
        <v>240</v>
      </c>
      <c r="E35" s="6"/>
      <c r="F35" s="6"/>
      <c r="G35" s="6"/>
      <c r="H35" s="11"/>
      <c r="I35" s="48">
        <f>I21+I23</f>
        <v>8948474.2530016713</v>
      </c>
      <c r="J35" s="71"/>
      <c r="K35" s="4" t="s">
        <v>241</v>
      </c>
      <c r="L35" s="4">
        <f t="shared" si="1"/>
        <v>25</v>
      </c>
    </row>
    <row r="36" spans="1:13" x14ac:dyDescent="0.25">
      <c r="A36" s="4">
        <f t="shared" si="0"/>
        <v>26</v>
      </c>
      <c r="E36" s="45"/>
      <c r="G36" s="45"/>
      <c r="H36" s="46"/>
      <c r="I36" s="45"/>
      <c r="J36" s="46"/>
      <c r="K36" s="4"/>
      <c r="L36" s="4">
        <f t="shared" si="1"/>
        <v>26</v>
      </c>
    </row>
    <row r="37" spans="1:13" x14ac:dyDescent="0.25">
      <c r="A37" s="4">
        <f t="shared" si="0"/>
        <v>27</v>
      </c>
      <c r="B37" s="31" t="s">
        <v>58</v>
      </c>
      <c r="E37" s="6"/>
      <c r="G37" s="6"/>
      <c r="H37" s="46"/>
      <c r="I37" s="8">
        <f>I25*I33</f>
        <v>0</v>
      </c>
      <c r="J37" s="71"/>
      <c r="K37" s="4" t="s">
        <v>242</v>
      </c>
      <c r="L37" s="4">
        <f t="shared" si="1"/>
        <v>27</v>
      </c>
      <c r="M37" s="264"/>
    </row>
    <row r="38" spans="1:13" x14ac:dyDescent="0.25">
      <c r="A38" s="4">
        <f t="shared" si="0"/>
        <v>28</v>
      </c>
      <c r="E38" s="45"/>
      <c r="G38" s="45"/>
      <c r="H38" s="46"/>
      <c r="I38" s="49"/>
      <c r="J38" s="46"/>
      <c r="K38" s="4"/>
      <c r="L38" s="4">
        <f t="shared" si="1"/>
        <v>28</v>
      </c>
    </row>
    <row r="39" spans="1:13" x14ac:dyDescent="0.25">
      <c r="A39" s="4">
        <f t="shared" si="0"/>
        <v>29</v>
      </c>
      <c r="B39" s="31" t="s">
        <v>60</v>
      </c>
      <c r="E39" s="6"/>
      <c r="G39" s="6"/>
      <c r="H39" s="46"/>
      <c r="I39" s="8">
        <f>I27*I33</f>
        <v>65074.471004096384</v>
      </c>
      <c r="J39" s="46"/>
      <c r="K39" s="4" t="s">
        <v>243</v>
      </c>
      <c r="L39" s="4">
        <f t="shared" si="1"/>
        <v>29</v>
      </c>
      <c r="M39" s="264"/>
    </row>
    <row r="40" spans="1:13" x14ac:dyDescent="0.25">
      <c r="A40" s="4">
        <f t="shared" si="0"/>
        <v>30</v>
      </c>
      <c r="E40" s="6"/>
      <c r="G40" s="6"/>
      <c r="H40" s="46"/>
      <c r="I40" s="8"/>
      <c r="J40" s="46"/>
      <c r="K40" s="4"/>
      <c r="L40" s="4">
        <f t="shared" si="1"/>
        <v>30</v>
      </c>
      <c r="M40" s="264"/>
    </row>
    <row r="41" spans="1:13" x14ac:dyDescent="0.25">
      <c r="A41" s="4">
        <f t="shared" si="0"/>
        <v>31</v>
      </c>
      <c r="B41" s="31" t="s">
        <v>244</v>
      </c>
      <c r="E41" s="6"/>
      <c r="G41" s="6"/>
      <c r="H41" s="46"/>
      <c r="I41" s="911">
        <f>I29*I33</f>
        <v>416820.78184381907</v>
      </c>
      <c r="J41" s="46"/>
      <c r="K41" s="4" t="s">
        <v>245</v>
      </c>
      <c r="L41" s="4">
        <f t="shared" si="1"/>
        <v>31</v>
      </c>
      <c r="M41" s="264"/>
    </row>
    <row r="42" spans="1:13" x14ac:dyDescent="0.25">
      <c r="A42" s="4">
        <f t="shared" si="0"/>
        <v>32</v>
      </c>
      <c r="B42" s="31" t="s">
        <v>1</v>
      </c>
      <c r="E42" s="6"/>
      <c r="G42" s="6"/>
      <c r="H42" s="46"/>
      <c r="I42" s="8"/>
      <c r="J42" s="46"/>
      <c r="K42" s="4"/>
      <c r="L42" s="4">
        <f t="shared" si="1"/>
        <v>32</v>
      </c>
    </row>
    <row r="43" spans="1:13" ht="16.5" thickBot="1" x14ac:dyDescent="0.3">
      <c r="A43" s="4">
        <f t="shared" si="0"/>
        <v>33</v>
      </c>
      <c r="B43" s="31" t="s">
        <v>246</v>
      </c>
      <c r="E43" s="6"/>
      <c r="G43" s="6"/>
      <c r="H43" s="50"/>
      <c r="I43" s="24">
        <f>I35+I37+I39+I41</f>
        <v>9430369.5058495868</v>
      </c>
      <c r="J43" s="71"/>
      <c r="K43" s="4" t="s">
        <v>247</v>
      </c>
      <c r="L43" s="4">
        <f t="shared" si="1"/>
        <v>33</v>
      </c>
      <c r="M43" s="264"/>
    </row>
    <row r="44" spans="1:13" ht="16.5" thickTop="1" x14ac:dyDescent="0.25">
      <c r="A44" s="4">
        <f t="shared" si="0"/>
        <v>34</v>
      </c>
      <c r="E44" s="45"/>
      <c r="G44" s="45"/>
      <c r="H44" s="50"/>
      <c r="I44" s="49"/>
      <c r="J44" s="50"/>
      <c r="K44" s="4"/>
      <c r="L44" s="4">
        <f t="shared" si="1"/>
        <v>34</v>
      </c>
    </row>
    <row r="45" spans="1:13" ht="19.5" thickBot="1" x14ac:dyDescent="0.3">
      <c r="A45" s="4">
        <f t="shared" si="0"/>
        <v>35</v>
      </c>
      <c r="B45" s="31" t="s">
        <v>248</v>
      </c>
      <c r="E45" s="47"/>
      <c r="G45" s="47"/>
      <c r="H45" s="50"/>
      <c r="I45" s="51">
        <f>IFERROR(I43/I31,0)</f>
        <v>0.36842364271105443</v>
      </c>
      <c r="J45" s="71"/>
      <c r="K45" s="4" t="s">
        <v>249</v>
      </c>
      <c r="L45" s="4">
        <f t="shared" si="1"/>
        <v>35</v>
      </c>
      <c r="M45" s="264"/>
    </row>
    <row r="46" spans="1:13" ht="16.5" thickTop="1" x14ac:dyDescent="0.25">
      <c r="E46" s="217"/>
      <c r="G46" s="44"/>
      <c r="H46" s="50"/>
      <c r="I46" s="50"/>
      <c r="J46" s="50"/>
      <c r="K46" s="4"/>
    </row>
    <row r="47" spans="1:13" x14ac:dyDescent="0.25">
      <c r="B47" s="33"/>
    </row>
    <row r="48" spans="1:13" ht="18.75" x14ac:dyDescent="0.25">
      <c r="A48" s="252">
        <v>1</v>
      </c>
      <c r="B48" s="31" t="s">
        <v>250</v>
      </c>
    </row>
    <row r="49" spans="1:2" ht="18.75" x14ac:dyDescent="0.25">
      <c r="A49" s="265">
        <v>2</v>
      </c>
      <c r="B49" s="31" t="s">
        <v>251</v>
      </c>
    </row>
    <row r="50" spans="1:2" ht="18.75" x14ac:dyDescent="0.25">
      <c r="A50" s="265">
        <v>3</v>
      </c>
      <c r="B50" s="31" t="s">
        <v>252</v>
      </c>
    </row>
    <row r="51" spans="1:2" ht="18.75" x14ac:dyDescent="0.25">
      <c r="A51" s="265">
        <v>4</v>
      </c>
      <c r="B51" s="31" t="s">
        <v>253</v>
      </c>
    </row>
    <row r="52" spans="1:2" ht="18.75" x14ac:dyDescent="0.25">
      <c r="A52" s="265">
        <v>5</v>
      </c>
      <c r="B52" s="31" t="s">
        <v>254</v>
      </c>
    </row>
    <row r="53" spans="1:2" ht="18.75" x14ac:dyDescent="0.25">
      <c r="A53" s="265"/>
    </row>
    <row r="54" spans="1:2" ht="18.75" x14ac:dyDescent="0.25">
      <c r="A54" s="265"/>
    </row>
    <row r="55" spans="1:2" ht="18.75" x14ac:dyDescent="0.25">
      <c r="A55" s="265"/>
    </row>
  </sheetData>
  <mergeCells count="5">
    <mergeCell ref="B2:K2"/>
    <mergeCell ref="B3:K3"/>
    <mergeCell ref="B4:K4"/>
    <mergeCell ref="B5:K5"/>
    <mergeCell ref="B6:K6"/>
  </mergeCells>
  <pageMargins left="0.7" right="0.7" top="0.75" bottom="0.75" header="0.3" footer="0.3"/>
  <pageSetup scale="46" orientation="portrait" r:id="rId1"/>
  <headerFooter scaleWithDoc="0">
    <oddFooter>&amp;C&amp;A</oddFooter>
  </headerFooter>
  <customProperties>
    <customPr name="_pios_id" r:id="rId2"/>
  </customPropertie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A43ED-0D68-4A40-BDF3-7F05C4689775}">
  <sheetPr>
    <pageSetUpPr fitToPage="1"/>
  </sheetPr>
  <dimension ref="A1:N39"/>
  <sheetViews>
    <sheetView zoomScale="80" zoomScaleNormal="80" workbookViewId="0">
      <selection activeCell="I31" sqref="I31"/>
    </sheetView>
  </sheetViews>
  <sheetFormatPr defaultColWidth="8.7109375" defaultRowHeight="15.75" x14ac:dyDescent="0.25"/>
  <cols>
    <col min="1" max="1" width="5.28515625" style="4" bestFit="1" customWidth="1"/>
    <col min="2" max="2" width="67.5703125" style="31" customWidth="1"/>
    <col min="3" max="3" width="25.5703125" style="4" bestFit="1" customWidth="1"/>
    <col min="4" max="4" width="1.5703125" style="31" customWidth="1"/>
    <col min="5" max="5" width="16.7109375" style="31" customWidth="1"/>
    <col min="6" max="6" width="1.5703125" style="31" customWidth="1"/>
    <col min="7" max="7" width="16.7109375" style="31" customWidth="1"/>
    <col min="8" max="8" width="1.5703125" style="31" customWidth="1"/>
    <col min="9" max="9" width="16.7109375" style="31" customWidth="1"/>
    <col min="10" max="10" width="1.5703125" style="31" customWidth="1"/>
    <col min="11" max="11" width="34.5703125" style="31" customWidth="1"/>
    <col min="12" max="12" width="5.28515625" style="31" bestFit="1" customWidth="1"/>
    <col min="13" max="13" width="8.7109375" style="31"/>
    <col min="14" max="14" width="33.42578125" style="31" customWidth="1"/>
    <col min="15" max="16384" width="8.7109375" style="31"/>
  </cols>
  <sheetData>
    <row r="1" spans="1:14" x14ac:dyDescent="0.25">
      <c r="H1" s="4"/>
      <c r="I1" s="4"/>
      <c r="J1" s="4"/>
      <c r="K1" s="4"/>
      <c r="L1" s="4"/>
    </row>
    <row r="2" spans="1:14" x14ac:dyDescent="0.25">
      <c r="B2" s="1316" t="s">
        <v>0</v>
      </c>
      <c r="C2" s="1316"/>
      <c r="D2" s="1316"/>
      <c r="E2" s="1316"/>
      <c r="F2" s="1316"/>
      <c r="G2" s="1316"/>
      <c r="H2" s="1316"/>
      <c r="I2" s="1316"/>
      <c r="J2" s="1316"/>
      <c r="K2" s="1316"/>
      <c r="L2" s="4"/>
    </row>
    <row r="3" spans="1:14" x14ac:dyDescent="0.25">
      <c r="B3" s="1316" t="s">
        <v>354</v>
      </c>
      <c r="C3" s="1316"/>
      <c r="D3" s="1316"/>
      <c r="E3" s="1316"/>
      <c r="F3" s="1316"/>
      <c r="G3" s="1316"/>
      <c r="H3" s="1316"/>
      <c r="I3" s="1316"/>
      <c r="J3" s="1316"/>
      <c r="K3" s="1316"/>
      <c r="L3" s="4"/>
    </row>
    <row r="4" spans="1:14" x14ac:dyDescent="0.25">
      <c r="B4" s="1316" t="s">
        <v>355</v>
      </c>
      <c r="C4" s="1316"/>
      <c r="D4" s="1316"/>
      <c r="E4" s="1316"/>
      <c r="F4" s="1316"/>
      <c r="G4" s="1316"/>
      <c r="H4" s="1316"/>
      <c r="I4" s="1316"/>
      <c r="J4" s="1316"/>
      <c r="K4" s="1316"/>
      <c r="L4" s="4"/>
    </row>
    <row r="5" spans="1:14" x14ac:dyDescent="0.25">
      <c r="B5" s="1318" t="str">
        <f>'Stmt AD'!B5</f>
        <v>Base Period &amp; True-Up Period 12 - Months Ending December 31, 2025</v>
      </c>
      <c r="C5" s="1318"/>
      <c r="D5" s="1318"/>
      <c r="E5" s="1318"/>
      <c r="F5" s="1318"/>
      <c r="G5" s="1318"/>
      <c r="H5" s="1318"/>
      <c r="I5" s="1318"/>
      <c r="J5" s="1318"/>
      <c r="K5" s="1318"/>
      <c r="L5" s="4"/>
      <c r="N5" s="1"/>
    </row>
    <row r="6" spans="1:14" x14ac:dyDescent="0.25">
      <c r="B6" s="1312" t="s">
        <v>4</v>
      </c>
      <c r="C6" s="1313"/>
      <c r="D6" s="1313"/>
      <c r="E6" s="1313"/>
      <c r="F6" s="1313"/>
      <c r="G6" s="1313"/>
      <c r="H6" s="1313"/>
      <c r="I6" s="1313"/>
      <c r="J6" s="1313"/>
      <c r="K6" s="1313"/>
      <c r="L6" s="4"/>
      <c r="N6" s="328"/>
    </row>
    <row r="7" spans="1:14" x14ac:dyDescent="0.25">
      <c r="B7" s="4"/>
      <c r="D7" s="4"/>
      <c r="E7" s="4"/>
      <c r="F7" s="4"/>
      <c r="G7" s="4"/>
      <c r="H7" s="217"/>
      <c r="I7" s="217"/>
      <c r="J7" s="217"/>
      <c r="K7" s="4"/>
      <c r="L7" s="4"/>
    </row>
    <row r="8" spans="1:14" x14ac:dyDescent="0.25">
      <c r="A8" s="4" t="s">
        <v>5</v>
      </c>
      <c r="B8" s="217"/>
      <c r="C8" s="4" t="s">
        <v>210</v>
      </c>
      <c r="D8" s="217"/>
      <c r="E8" s="34" t="s">
        <v>187</v>
      </c>
      <c r="F8" s="4"/>
      <c r="G8" s="34" t="s">
        <v>188</v>
      </c>
      <c r="H8" s="4"/>
      <c r="I8" s="34" t="s">
        <v>211</v>
      </c>
      <c r="J8" s="217"/>
      <c r="K8" s="4"/>
      <c r="L8" s="4" t="s">
        <v>5</v>
      </c>
    </row>
    <row r="9" spans="1:14" x14ac:dyDescent="0.25">
      <c r="A9" s="4" t="s">
        <v>6</v>
      </c>
      <c r="B9" s="217"/>
      <c r="C9" s="848" t="s">
        <v>212</v>
      </c>
      <c r="D9" s="217"/>
      <c r="E9" s="967">
        <f>'Stmt AD'!E9</f>
        <v>45657</v>
      </c>
      <c r="F9" s="217"/>
      <c r="G9" s="967">
        <f>'Stmt AD'!G9</f>
        <v>46022</v>
      </c>
      <c r="H9" s="217"/>
      <c r="I9" s="849" t="s">
        <v>213</v>
      </c>
      <c r="J9" s="217"/>
      <c r="K9" s="848" t="s">
        <v>8</v>
      </c>
      <c r="L9" s="4" t="s">
        <v>6</v>
      </c>
      <c r="N9" s="1088"/>
    </row>
    <row r="10" spans="1:14" x14ac:dyDescent="0.25">
      <c r="B10" s="4"/>
      <c r="D10" s="4"/>
      <c r="E10" s="4"/>
      <c r="F10" s="4"/>
      <c r="G10" s="4"/>
      <c r="H10" s="4"/>
      <c r="I10" s="4"/>
      <c r="J10" s="4"/>
      <c r="K10" s="4"/>
      <c r="L10" s="4"/>
      <c r="N10" s="824"/>
    </row>
    <row r="11" spans="1:14" ht="18.75" x14ac:dyDescent="0.25">
      <c r="A11" s="4">
        <v>1</v>
      </c>
      <c r="B11" s="31" t="s">
        <v>356</v>
      </c>
      <c r="C11" s="4" t="s">
        <v>357</v>
      </c>
      <c r="D11" s="4"/>
      <c r="E11" s="69"/>
      <c r="F11" s="35"/>
      <c r="G11" s="69"/>
      <c r="H11" s="39"/>
      <c r="I11" s="40">
        <f>'AE-1'!F31</f>
        <v>2446724.2792333583</v>
      </c>
      <c r="J11" s="71"/>
      <c r="K11" s="4" t="s">
        <v>358</v>
      </c>
      <c r="L11" s="4">
        <f>A11</f>
        <v>1</v>
      </c>
      <c r="N11" s="1088"/>
    </row>
    <row r="12" spans="1:14" x14ac:dyDescent="0.25">
      <c r="A12" s="4">
        <f>A11+1</f>
        <v>2</v>
      </c>
      <c r="E12" s="70"/>
      <c r="G12" s="70"/>
      <c r="H12" s="41"/>
      <c r="I12" s="70"/>
      <c r="J12" s="41"/>
      <c r="K12" s="329"/>
      <c r="L12" s="4">
        <f>L11+1</f>
        <v>2</v>
      </c>
      <c r="N12" s="824"/>
    </row>
    <row r="13" spans="1:14" ht="18.75" x14ac:dyDescent="0.25">
      <c r="A13" s="4">
        <f t="shared" ref="A13:A29" si="0">+A12+1</f>
        <v>3</v>
      </c>
      <c r="B13" s="31" t="s">
        <v>359</v>
      </c>
      <c r="E13" s="40">
        <f>'AE-2'!C14</f>
        <v>0</v>
      </c>
      <c r="F13" s="69"/>
      <c r="G13" s="40">
        <f>'AE-2'!C16</f>
        <v>0</v>
      </c>
      <c r="H13" s="71"/>
      <c r="I13" s="38">
        <f>(E13+G13)/2</f>
        <v>0</v>
      </c>
      <c r="J13" s="71"/>
      <c r="K13" s="4" t="s">
        <v>360</v>
      </c>
      <c r="L13" s="4">
        <f t="shared" ref="L13:L29" si="1">+L12+1</f>
        <v>3</v>
      </c>
      <c r="N13" s="824"/>
    </row>
    <row r="14" spans="1:14" x14ac:dyDescent="0.25">
      <c r="A14" s="4">
        <f t="shared" si="0"/>
        <v>4</v>
      </c>
      <c r="E14" s="70"/>
      <c r="G14" s="70"/>
      <c r="H14" s="41"/>
      <c r="I14" s="38"/>
      <c r="J14" s="41"/>
      <c r="K14" s="44"/>
      <c r="L14" s="4">
        <f t="shared" si="1"/>
        <v>4</v>
      </c>
      <c r="N14" s="824"/>
    </row>
    <row r="15" spans="1:14" ht="18.75" x14ac:dyDescent="0.25">
      <c r="A15" s="4">
        <f t="shared" si="0"/>
        <v>5</v>
      </c>
      <c r="B15" s="31" t="s">
        <v>361</v>
      </c>
      <c r="E15" s="42">
        <f>'AE-3'!C14</f>
        <v>171620.81378313914</v>
      </c>
      <c r="G15" s="42">
        <f>'AE-3'!C16</f>
        <v>178302.79457314053</v>
      </c>
      <c r="H15" s="39"/>
      <c r="I15" s="38">
        <f>(E15+G15)/2</f>
        <v>174961.80417813984</v>
      </c>
      <c r="J15" s="41"/>
      <c r="K15" s="4" t="s">
        <v>362</v>
      </c>
      <c r="L15" s="4">
        <f t="shared" si="1"/>
        <v>5</v>
      </c>
      <c r="N15" s="824"/>
    </row>
    <row r="16" spans="1:14" x14ac:dyDescent="0.25">
      <c r="A16" s="4">
        <f t="shared" si="0"/>
        <v>6</v>
      </c>
      <c r="E16" s="38"/>
      <c r="G16" s="38"/>
      <c r="H16" s="41"/>
      <c r="I16" s="38"/>
      <c r="J16" s="41"/>
      <c r="K16" s="44"/>
      <c r="L16" s="4">
        <f t="shared" si="1"/>
        <v>6</v>
      </c>
      <c r="N16" s="824"/>
    </row>
    <row r="17" spans="1:14" ht="18.75" x14ac:dyDescent="0.25">
      <c r="A17" s="4">
        <f t="shared" si="0"/>
        <v>7</v>
      </c>
      <c r="B17" s="31" t="s">
        <v>363</v>
      </c>
      <c r="E17" s="42">
        <f>'AE-4'!D15</f>
        <v>875143.0719804999</v>
      </c>
      <c r="G17" s="42">
        <f>'AE-4'!D19</f>
        <v>952599.82463369996</v>
      </c>
      <c r="H17" s="39"/>
      <c r="I17" s="38">
        <f>(E17+G17)/2</f>
        <v>913871.44830709998</v>
      </c>
      <c r="J17" s="41"/>
      <c r="K17" s="4" t="s">
        <v>364</v>
      </c>
      <c r="L17" s="4">
        <f t="shared" si="1"/>
        <v>7</v>
      </c>
      <c r="N17" s="824"/>
    </row>
    <row r="18" spans="1:14" x14ac:dyDescent="0.25">
      <c r="A18" s="4">
        <f t="shared" si="0"/>
        <v>8</v>
      </c>
      <c r="E18" s="70"/>
      <c r="G18" s="70"/>
      <c r="H18" s="41"/>
      <c r="I18" s="70"/>
      <c r="J18" s="41"/>
      <c r="K18" s="46"/>
      <c r="L18" s="4">
        <f t="shared" si="1"/>
        <v>8</v>
      </c>
      <c r="N18" s="824"/>
    </row>
    <row r="19" spans="1:14" x14ac:dyDescent="0.25">
      <c r="A19" s="4">
        <f t="shared" si="0"/>
        <v>9</v>
      </c>
      <c r="B19" s="31" t="s">
        <v>238</v>
      </c>
      <c r="E19" s="72"/>
      <c r="G19" s="72"/>
      <c r="H19" s="73"/>
      <c r="I19" s="968">
        <f>'True-Up Stmt AI'!E25</f>
        <v>0.21148052316352248</v>
      </c>
      <c r="J19" s="73"/>
      <c r="K19" s="44" t="s">
        <v>239</v>
      </c>
      <c r="L19" s="4">
        <f t="shared" si="1"/>
        <v>9</v>
      </c>
      <c r="N19"/>
    </row>
    <row r="20" spans="1:14" x14ac:dyDescent="0.25">
      <c r="A20" s="4">
        <f t="shared" si="0"/>
        <v>10</v>
      </c>
      <c r="E20" s="70"/>
      <c r="G20" s="70"/>
      <c r="H20" s="41"/>
      <c r="I20" s="74"/>
      <c r="J20" s="41"/>
      <c r="K20" s="46"/>
      <c r="L20" s="4">
        <f t="shared" si="1"/>
        <v>10</v>
      </c>
    </row>
    <row r="21" spans="1:14" x14ac:dyDescent="0.25">
      <c r="A21" s="4">
        <f t="shared" si="0"/>
        <v>11</v>
      </c>
      <c r="B21" s="31" t="s">
        <v>121</v>
      </c>
      <c r="E21" s="70"/>
      <c r="G21" s="70"/>
      <c r="H21" s="41"/>
      <c r="I21" s="75">
        <f>I13*I19</f>
        <v>0</v>
      </c>
      <c r="J21" s="71"/>
      <c r="K21" s="46" t="s">
        <v>365</v>
      </c>
      <c r="L21" s="4">
        <f t="shared" si="1"/>
        <v>11</v>
      </c>
    </row>
    <row r="22" spans="1:14" x14ac:dyDescent="0.25">
      <c r="A22" s="4">
        <f t="shared" si="0"/>
        <v>12</v>
      </c>
      <c r="E22" s="70"/>
      <c r="G22" s="70"/>
      <c r="H22" s="41"/>
      <c r="I22" s="74"/>
      <c r="J22" s="41"/>
      <c r="K22" s="46"/>
      <c r="L22" s="4">
        <f t="shared" si="1"/>
        <v>12</v>
      </c>
    </row>
    <row r="23" spans="1:14" x14ac:dyDescent="0.25">
      <c r="A23" s="4">
        <f t="shared" si="0"/>
        <v>13</v>
      </c>
      <c r="B23" s="31" t="s">
        <v>366</v>
      </c>
      <c r="E23" s="38"/>
      <c r="F23" s="6"/>
      <c r="G23" s="38"/>
      <c r="H23" s="75"/>
      <c r="I23" s="76">
        <f>I15*I19</f>
        <v>37001.013881226783</v>
      </c>
      <c r="J23" s="41"/>
      <c r="K23" s="46" t="s">
        <v>367</v>
      </c>
      <c r="L23" s="4">
        <f t="shared" si="1"/>
        <v>13</v>
      </c>
    </row>
    <row r="24" spans="1:14" x14ac:dyDescent="0.25">
      <c r="A24" s="4">
        <f t="shared" si="0"/>
        <v>14</v>
      </c>
      <c r="E24" s="38"/>
      <c r="F24" s="6"/>
      <c r="G24" s="38"/>
      <c r="H24" s="39"/>
      <c r="I24" s="76"/>
      <c r="J24" s="41"/>
      <c r="K24" s="46"/>
      <c r="L24" s="4">
        <f t="shared" si="1"/>
        <v>14</v>
      </c>
    </row>
    <row r="25" spans="1:14" x14ac:dyDescent="0.25">
      <c r="A25" s="4">
        <f t="shared" si="0"/>
        <v>15</v>
      </c>
      <c r="B25" s="31" t="s">
        <v>368</v>
      </c>
      <c r="E25" s="76"/>
      <c r="F25" s="6"/>
      <c r="G25" s="76"/>
      <c r="H25" s="39"/>
      <c r="I25" s="969">
        <f>I17*I19</f>
        <v>193266.01199219149</v>
      </c>
      <c r="J25" s="41"/>
      <c r="K25" s="46" t="s">
        <v>369</v>
      </c>
      <c r="L25" s="4">
        <f t="shared" si="1"/>
        <v>15</v>
      </c>
    </row>
    <row r="26" spans="1:14" x14ac:dyDescent="0.25">
      <c r="A26" s="4">
        <f t="shared" si="0"/>
        <v>16</v>
      </c>
      <c r="E26" s="76"/>
      <c r="F26" s="6"/>
      <c r="G26" s="76"/>
      <c r="H26" s="39"/>
      <c r="I26" s="76"/>
      <c r="J26" s="41"/>
      <c r="K26" s="46"/>
      <c r="L26" s="4">
        <f t="shared" si="1"/>
        <v>16</v>
      </c>
    </row>
    <row r="27" spans="1:14" ht="16.5" thickBot="1" x14ac:dyDescent="0.3">
      <c r="A27" s="4">
        <f t="shared" si="0"/>
        <v>17</v>
      </c>
      <c r="B27" s="31" t="s">
        <v>127</v>
      </c>
      <c r="E27" s="75"/>
      <c r="F27" s="6"/>
      <c r="G27" s="75"/>
      <c r="H27" s="39"/>
      <c r="I27" s="77">
        <f>I11+I21+I23+I25</f>
        <v>2676991.3051067768</v>
      </c>
      <c r="J27" s="71"/>
      <c r="K27" s="46" t="s">
        <v>370</v>
      </c>
      <c r="L27" s="4">
        <f t="shared" si="1"/>
        <v>17</v>
      </c>
    </row>
    <row r="28" spans="1:14" ht="16.5" thickTop="1" x14ac:dyDescent="0.25">
      <c r="A28" s="4">
        <f t="shared" si="0"/>
        <v>18</v>
      </c>
      <c r="G28" s="48"/>
      <c r="H28" s="41"/>
      <c r="I28" s="41"/>
      <c r="J28" s="41"/>
      <c r="K28" s="46"/>
      <c r="L28" s="4">
        <f t="shared" si="1"/>
        <v>18</v>
      </c>
    </row>
    <row r="29" spans="1:14" ht="19.5" thickBot="1" x14ac:dyDescent="0.3">
      <c r="A29" s="4">
        <f t="shared" si="0"/>
        <v>19</v>
      </c>
      <c r="B29" s="31" t="s">
        <v>371</v>
      </c>
      <c r="D29" s="4"/>
      <c r="E29" s="39"/>
      <c r="G29" s="39"/>
      <c r="H29" s="39"/>
      <c r="I29" s="78">
        <f>'AE-5'!E31</f>
        <v>0</v>
      </c>
      <c r="J29" s="4"/>
      <c r="K29" s="4" t="s">
        <v>372</v>
      </c>
      <c r="L29" s="4">
        <f t="shared" si="1"/>
        <v>19</v>
      </c>
    </row>
    <row r="30" spans="1:14" ht="16.5" thickTop="1" x14ac:dyDescent="0.25">
      <c r="G30" s="48"/>
      <c r="H30" s="41"/>
      <c r="I30" s="41"/>
      <c r="J30" s="41"/>
      <c r="K30" s="46"/>
      <c r="L30" s="4"/>
    </row>
    <row r="32" spans="1:14" ht="18.75" x14ac:dyDescent="0.25">
      <c r="A32" s="252">
        <v>1</v>
      </c>
      <c r="B32" s="31" t="s">
        <v>373</v>
      </c>
    </row>
    <row r="33" spans="1:2" ht="18.75" x14ac:dyDescent="0.25">
      <c r="A33" s="265">
        <v>2</v>
      </c>
      <c r="B33" s="31" t="s">
        <v>374</v>
      </c>
    </row>
    <row r="34" spans="1:2" ht="18.75" x14ac:dyDescent="0.25">
      <c r="A34" s="265">
        <v>3</v>
      </c>
      <c r="B34" s="31" t="s">
        <v>375</v>
      </c>
    </row>
    <row r="35" spans="1:2" ht="18.75" x14ac:dyDescent="0.25">
      <c r="A35" s="265">
        <v>4</v>
      </c>
      <c r="B35" s="31" t="s">
        <v>253</v>
      </c>
    </row>
    <row r="37" spans="1:2" ht="18.75" x14ac:dyDescent="0.25">
      <c r="A37" s="265"/>
    </row>
    <row r="39" spans="1:2" x14ac:dyDescent="0.25">
      <c r="A39" s="71"/>
      <c r="B39" s="1"/>
    </row>
  </sheetData>
  <mergeCells count="5">
    <mergeCell ref="B2:K2"/>
    <mergeCell ref="B3:K3"/>
    <mergeCell ref="B4:K4"/>
    <mergeCell ref="B5:K5"/>
    <mergeCell ref="B6:K6"/>
  </mergeCells>
  <pageMargins left="0.7" right="0.7" top="0.75" bottom="0.75" header="0.3" footer="0.3"/>
  <pageSetup scale="46" orientation="portrait" r:id="rId1"/>
  <headerFooter scaleWithDoc="0">
    <oddFooter>&amp;C&amp;A</oddFooter>
  </headerFooter>
  <customProperties>
    <customPr name="_pios_id" r:id="rId2"/>
  </customPropertie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456B6-FC14-4CFC-9B40-9C8F490E050E}">
  <sheetPr>
    <pageSetUpPr fitToPage="1"/>
  </sheetPr>
  <dimension ref="A1:L64"/>
  <sheetViews>
    <sheetView zoomScale="80" zoomScaleNormal="80" workbookViewId="0">
      <selection activeCell="E12" sqref="E12"/>
    </sheetView>
  </sheetViews>
  <sheetFormatPr defaultColWidth="8.85546875" defaultRowHeight="15.75" x14ac:dyDescent="0.25"/>
  <cols>
    <col min="1" max="1" width="5.140625" style="4" bestFit="1" customWidth="1"/>
    <col min="2" max="2" width="78.42578125" style="31" customWidth="1"/>
    <col min="3" max="3" width="21.140625" style="31" customWidth="1"/>
    <col min="4" max="4" width="1.5703125" style="31" customWidth="1"/>
    <col min="5" max="5" width="16.85546875" style="31" customWidth="1"/>
    <col min="6" max="6" width="1.5703125" style="31" customWidth="1"/>
    <col min="7" max="7" width="44.85546875" style="31" customWidth="1"/>
    <col min="8" max="8" width="5.140625" style="31" customWidth="1"/>
    <col min="9" max="9" width="8.85546875" style="31"/>
    <col min="10" max="10" width="20.42578125" style="31" bestFit="1" customWidth="1"/>
    <col min="11" max="16384" width="8.85546875" style="31"/>
  </cols>
  <sheetData>
    <row r="1" spans="1:12" x14ac:dyDescent="0.25">
      <c r="G1" s="4"/>
      <c r="H1" s="4"/>
    </row>
    <row r="2" spans="1:12" x14ac:dyDescent="0.25">
      <c r="B2" s="1316" t="s">
        <v>0</v>
      </c>
      <c r="C2" s="1316"/>
      <c r="D2" s="1316"/>
      <c r="E2" s="1316"/>
      <c r="F2" s="1316"/>
      <c r="G2" s="1316"/>
      <c r="H2" s="4"/>
    </row>
    <row r="3" spans="1:12" x14ac:dyDescent="0.25">
      <c r="B3" s="1316" t="s">
        <v>459</v>
      </c>
      <c r="C3" s="1316"/>
      <c r="D3" s="1316"/>
      <c r="E3" s="1316"/>
      <c r="F3" s="1316"/>
      <c r="G3" s="1316"/>
      <c r="H3" s="4"/>
    </row>
    <row r="4" spans="1:12" x14ac:dyDescent="0.25">
      <c r="B4" s="1316" t="s">
        <v>460</v>
      </c>
      <c r="C4" s="1316"/>
      <c r="D4" s="1316"/>
      <c r="E4" s="1316"/>
      <c r="F4" s="1316"/>
      <c r="G4" s="1316"/>
      <c r="H4" s="4"/>
    </row>
    <row r="5" spans="1:12" x14ac:dyDescent="0.25">
      <c r="B5" s="1318" t="s">
        <v>2037</v>
      </c>
      <c r="C5" s="1318"/>
      <c r="D5" s="1318"/>
      <c r="E5" s="1318"/>
      <c r="F5" s="1318"/>
      <c r="G5" s="1318"/>
      <c r="H5" s="4"/>
      <c r="J5"/>
      <c r="K5"/>
      <c r="L5"/>
    </row>
    <row r="6" spans="1:12" x14ac:dyDescent="0.25">
      <c r="B6" s="1312" t="s">
        <v>4</v>
      </c>
      <c r="C6" s="1313"/>
      <c r="D6" s="1313"/>
      <c r="E6" s="1313"/>
      <c r="F6" s="1313"/>
      <c r="G6" s="1313"/>
      <c r="H6" s="4"/>
    </row>
    <row r="7" spans="1:12" x14ac:dyDescent="0.25">
      <c r="B7" s="4"/>
      <c r="C7" s="4"/>
      <c r="D7" s="4"/>
      <c r="E7" s="11"/>
      <c r="F7" s="11"/>
      <c r="G7" s="4"/>
      <c r="H7" s="4"/>
    </row>
    <row r="8" spans="1:12" x14ac:dyDescent="0.25">
      <c r="A8" s="4" t="s">
        <v>5</v>
      </c>
      <c r="B8" s="217"/>
      <c r="C8" s="4" t="s">
        <v>210</v>
      </c>
      <c r="D8" s="217"/>
      <c r="E8" s="356"/>
      <c r="F8" s="356"/>
      <c r="G8" s="4"/>
      <c r="H8" s="4" t="s">
        <v>5</v>
      </c>
    </row>
    <row r="9" spans="1:12" x14ac:dyDescent="0.25">
      <c r="A9" s="4" t="s">
        <v>6</v>
      </c>
      <c r="C9" s="848" t="s">
        <v>212</v>
      </c>
      <c r="D9" s="217"/>
      <c r="E9" s="849" t="s">
        <v>7</v>
      </c>
      <c r="F9" s="356"/>
      <c r="G9" s="848" t="s">
        <v>8</v>
      </c>
      <c r="H9" s="4" t="s">
        <v>6</v>
      </c>
    </row>
    <row r="10" spans="1:12" x14ac:dyDescent="0.25">
      <c r="C10" s="217"/>
      <c r="D10" s="217"/>
      <c r="E10" s="356"/>
      <c r="F10" s="356"/>
      <c r="G10" s="4"/>
      <c r="H10" s="4"/>
    </row>
    <row r="11" spans="1:12" x14ac:dyDescent="0.25">
      <c r="A11" s="4">
        <v>1</v>
      </c>
      <c r="B11" s="250" t="s">
        <v>461</v>
      </c>
      <c r="G11" s="4"/>
      <c r="H11" s="4">
        <f>A11</f>
        <v>1</v>
      </c>
    </row>
    <row r="12" spans="1:12" x14ac:dyDescent="0.25">
      <c r="A12" s="4">
        <f>+A11+1</f>
        <v>2</v>
      </c>
      <c r="B12" s="31" t="s">
        <v>462</v>
      </c>
      <c r="C12" s="4" t="s">
        <v>463</v>
      </c>
      <c r="E12" s="40">
        <f>'True-up Stmt AH-1'!D43</f>
        <v>109226.00699999998</v>
      </c>
      <c r="G12" s="4" t="s">
        <v>464</v>
      </c>
      <c r="H12" s="4">
        <f>+H11+1</f>
        <v>2</v>
      </c>
    </row>
    <row r="13" spans="1:12" x14ac:dyDescent="0.25">
      <c r="A13" s="4">
        <f t="shared" ref="A13:A60" si="0">+A12+1</f>
        <v>3</v>
      </c>
      <c r="B13" s="32" t="s">
        <v>1710</v>
      </c>
      <c r="E13" s="48"/>
      <c r="G13" s="4"/>
      <c r="H13" s="4">
        <f t="shared" ref="H13:H60" si="1">+H12+1</f>
        <v>3</v>
      </c>
    </row>
    <row r="14" spans="1:12" x14ac:dyDescent="0.25">
      <c r="A14" s="4">
        <f t="shared" si="0"/>
        <v>4</v>
      </c>
      <c r="B14" s="31" t="s">
        <v>1711</v>
      </c>
      <c r="C14" s="357"/>
      <c r="E14" s="42">
        <f>-'True-up Stmt AH-1'!E48</f>
        <v>-2615.1482700000001</v>
      </c>
      <c r="G14" s="4" t="s">
        <v>1712</v>
      </c>
      <c r="H14" s="4">
        <f t="shared" si="1"/>
        <v>4</v>
      </c>
    </row>
    <row r="15" spans="1:12" x14ac:dyDescent="0.25">
      <c r="A15" s="4">
        <f t="shared" si="0"/>
        <v>5</v>
      </c>
      <c r="B15" s="31" t="s">
        <v>1713</v>
      </c>
      <c r="E15" s="42">
        <f>-'True-up Stmt AH-1'!E49</f>
        <v>-1345.1913</v>
      </c>
      <c r="G15" s="4" t="s">
        <v>1714</v>
      </c>
      <c r="H15" s="4">
        <f t="shared" si="1"/>
        <v>5</v>
      </c>
    </row>
    <row r="16" spans="1:12" x14ac:dyDescent="0.25">
      <c r="A16" s="4">
        <f t="shared" si="0"/>
        <v>6</v>
      </c>
      <c r="B16" s="31" t="s">
        <v>1715</v>
      </c>
      <c r="E16" s="42">
        <f>-'True-up Stmt AH-1'!E50</f>
        <v>0</v>
      </c>
      <c r="G16" s="4" t="s">
        <v>1716</v>
      </c>
      <c r="H16" s="4">
        <f t="shared" si="1"/>
        <v>6</v>
      </c>
    </row>
    <row r="17" spans="1:10" x14ac:dyDescent="0.25">
      <c r="A17" s="4">
        <f t="shared" si="0"/>
        <v>7</v>
      </c>
      <c r="B17" s="31" t="s">
        <v>1717</v>
      </c>
      <c r="E17" s="42">
        <f>-'True-up Stmt AH-1'!E55</f>
        <v>7133.1540700000005</v>
      </c>
      <c r="G17" s="4" t="s">
        <v>1960</v>
      </c>
      <c r="H17" s="4">
        <f t="shared" si="1"/>
        <v>7</v>
      </c>
    </row>
    <row r="18" spans="1:10" x14ac:dyDescent="0.25">
      <c r="A18" s="4">
        <f t="shared" si="0"/>
        <v>8</v>
      </c>
      <c r="B18" s="31" t="s">
        <v>1718</v>
      </c>
      <c r="E18" s="918">
        <f>-'True-up Stmt AH-1'!E47</f>
        <v>-112.02455</v>
      </c>
      <c r="G18" s="4" t="s">
        <v>1719</v>
      </c>
      <c r="H18" s="4">
        <f t="shared" si="1"/>
        <v>8</v>
      </c>
    </row>
    <row r="19" spans="1:10" ht="16.5" thickBot="1" x14ac:dyDescent="0.3">
      <c r="A19" s="4">
        <f t="shared" si="0"/>
        <v>9</v>
      </c>
      <c r="B19" s="31" t="s">
        <v>465</v>
      </c>
      <c r="E19" s="95">
        <f>SUM(E12:E18)</f>
        <v>112286.79694999997</v>
      </c>
      <c r="G19" s="4" t="s">
        <v>1720</v>
      </c>
      <c r="H19" s="4">
        <f t="shared" si="1"/>
        <v>9</v>
      </c>
    </row>
    <row r="20" spans="1:10" ht="16.5" thickTop="1" x14ac:dyDescent="0.25">
      <c r="A20" s="4">
        <f t="shared" si="0"/>
        <v>10</v>
      </c>
      <c r="E20" s="6"/>
      <c r="H20" s="4">
        <f t="shared" si="1"/>
        <v>10</v>
      </c>
    </row>
    <row r="21" spans="1:10" x14ac:dyDescent="0.25">
      <c r="A21" s="4">
        <f t="shared" si="0"/>
        <v>11</v>
      </c>
      <c r="B21" s="249" t="s">
        <v>466</v>
      </c>
      <c r="E21" s="38"/>
      <c r="G21" s="4"/>
      <c r="H21" s="4">
        <f t="shared" si="1"/>
        <v>11</v>
      </c>
    </row>
    <row r="22" spans="1:10" x14ac:dyDescent="0.25">
      <c r="A22" s="4">
        <f t="shared" si="0"/>
        <v>12</v>
      </c>
      <c r="B22" s="32" t="s">
        <v>467</v>
      </c>
      <c r="C22" s="4" t="s">
        <v>468</v>
      </c>
      <c r="E22" s="40">
        <f>'True-Up AH-2'!D26</f>
        <v>630054.61277000001</v>
      </c>
      <c r="G22" s="4" t="s">
        <v>1742</v>
      </c>
      <c r="H22" s="4">
        <f t="shared" si="1"/>
        <v>12</v>
      </c>
    </row>
    <row r="23" spans="1:10" x14ac:dyDescent="0.25">
      <c r="A23" s="4">
        <f t="shared" si="0"/>
        <v>13</v>
      </c>
      <c r="B23" s="32" t="s">
        <v>1721</v>
      </c>
      <c r="E23" s="38" t="s">
        <v>1</v>
      </c>
      <c r="G23" s="4"/>
      <c r="H23" s="4">
        <f t="shared" si="1"/>
        <v>13</v>
      </c>
    </row>
    <row r="24" spans="1:10" x14ac:dyDescent="0.25">
      <c r="A24" s="4">
        <f t="shared" si="0"/>
        <v>14</v>
      </c>
      <c r="B24" s="32" t="s">
        <v>1722</v>
      </c>
      <c r="E24" s="42">
        <f>-'True-Up AH-2'!D45</f>
        <v>-68.272149999999996</v>
      </c>
      <c r="G24" s="4" t="s">
        <v>2101</v>
      </c>
      <c r="H24" s="4">
        <f t="shared" si="1"/>
        <v>14</v>
      </c>
    </row>
    <row r="25" spans="1:10" ht="47.25" x14ac:dyDescent="0.25">
      <c r="A25" s="4">
        <f t="shared" si="0"/>
        <v>15</v>
      </c>
      <c r="B25" s="32" t="s">
        <v>1723</v>
      </c>
      <c r="E25" s="42">
        <f>-SUM('True-Up AH-2'!E30+'True-Up AH-2'!E31+'True-Up AH-2'!E32+'True-Up AH-2'!D33+'True-Up AH-2'!E35+'True-Up AH-2'!D39+'True-Up AH-2'!D46+'True-Up AH-2'!E48)</f>
        <v>-2841.2290946610005</v>
      </c>
      <c r="G25" s="90" t="s">
        <v>2102</v>
      </c>
      <c r="H25" s="4">
        <f t="shared" si="1"/>
        <v>15</v>
      </c>
      <c r="I25" s="1190"/>
      <c r="J25" s="6"/>
    </row>
    <row r="26" spans="1:10" ht="18.75" x14ac:dyDescent="0.25">
      <c r="A26" s="4">
        <f t="shared" si="0"/>
        <v>16</v>
      </c>
      <c r="B26" s="32" t="s">
        <v>1724</v>
      </c>
      <c r="E26" s="42">
        <f>-'True-Up AH-2'!D41</f>
        <v>0</v>
      </c>
      <c r="G26" s="4" t="s">
        <v>2103</v>
      </c>
      <c r="H26" s="4">
        <f t="shared" si="1"/>
        <v>16</v>
      </c>
      <c r="I26" s="1190"/>
      <c r="J26" s="35"/>
    </row>
    <row r="27" spans="1:10" x14ac:dyDescent="0.25">
      <c r="A27" s="4">
        <f t="shared" si="0"/>
        <v>17</v>
      </c>
      <c r="B27" s="32" t="s">
        <v>1725</v>
      </c>
      <c r="E27" s="42">
        <f>-'True-Up AH-2'!D42</f>
        <v>-543.14542999999992</v>
      </c>
      <c r="G27" s="4" t="s">
        <v>2104</v>
      </c>
      <c r="H27" s="4">
        <f t="shared" si="1"/>
        <v>17</v>
      </c>
    </row>
    <row r="28" spans="1:10" x14ac:dyDescent="0.25">
      <c r="A28" s="4">
        <f t="shared" si="0"/>
        <v>18</v>
      </c>
      <c r="B28" s="32" t="s">
        <v>1726</v>
      </c>
      <c r="E28" s="42">
        <f>-'True-Up AH-2'!D37</f>
        <v>-13845.17073</v>
      </c>
      <c r="G28" s="4" t="s">
        <v>1743</v>
      </c>
      <c r="H28" s="4">
        <f t="shared" si="1"/>
        <v>18</v>
      </c>
      <c r="J28" s="6"/>
    </row>
    <row r="29" spans="1:10" x14ac:dyDescent="0.25">
      <c r="A29" s="4">
        <f t="shared" si="0"/>
        <v>19</v>
      </c>
      <c r="B29" s="32" t="s">
        <v>1727</v>
      </c>
      <c r="E29" s="42">
        <v>0</v>
      </c>
      <c r="G29" s="90" t="s">
        <v>2027</v>
      </c>
      <c r="H29" s="4">
        <f>+H28+1</f>
        <v>19</v>
      </c>
      <c r="I29" s="1190"/>
      <c r="J29" s="6"/>
    </row>
    <row r="30" spans="1:10" x14ac:dyDescent="0.25">
      <c r="A30" s="4">
        <f t="shared" si="0"/>
        <v>20</v>
      </c>
      <c r="B30" s="32" t="s">
        <v>1728</v>
      </c>
      <c r="E30" s="42">
        <f>-'True-Up AH-2'!E44</f>
        <v>-610.74929000000009</v>
      </c>
      <c r="G30" s="90" t="s">
        <v>2105</v>
      </c>
      <c r="H30" s="4">
        <f>+H29+1</f>
        <v>20</v>
      </c>
      <c r="I30" s="1190"/>
    </row>
    <row r="31" spans="1:10" x14ac:dyDescent="0.25">
      <c r="A31" s="4">
        <f t="shared" si="0"/>
        <v>21</v>
      </c>
      <c r="B31" s="32" t="s">
        <v>1729</v>
      </c>
      <c r="E31" s="42">
        <f>-'True-Up AH-2'!E36</f>
        <v>-115768.47434</v>
      </c>
      <c r="G31" s="4" t="s">
        <v>2106</v>
      </c>
      <c r="H31" s="4">
        <f>+H30+1</f>
        <v>21</v>
      </c>
    </row>
    <row r="32" spans="1:10" x14ac:dyDescent="0.25">
      <c r="A32" s="4">
        <f t="shared" si="0"/>
        <v>22</v>
      </c>
      <c r="B32" s="32" t="s">
        <v>1730</v>
      </c>
      <c r="E32" s="42">
        <f>-'True-Up AH-2'!E49</f>
        <v>0</v>
      </c>
      <c r="G32" s="90" t="s">
        <v>2107</v>
      </c>
      <c r="H32" s="4">
        <f t="shared" ref="H32:H33" si="2">+H31+1</f>
        <v>22</v>
      </c>
    </row>
    <row r="33" spans="1:9" x14ac:dyDescent="0.25">
      <c r="A33" s="4">
        <f t="shared" si="0"/>
        <v>23</v>
      </c>
      <c r="B33" s="32" t="s">
        <v>1731</v>
      </c>
      <c r="E33" s="42">
        <f>-'True-Up AH-2'!D38</f>
        <v>2.9605100000000002</v>
      </c>
      <c r="G33" s="90" t="s">
        <v>2108</v>
      </c>
      <c r="H33" s="4">
        <f t="shared" si="2"/>
        <v>23</v>
      </c>
    </row>
    <row r="34" spans="1:9" ht="31.5" x14ac:dyDescent="0.25">
      <c r="A34" s="4">
        <f t="shared" si="0"/>
        <v>24</v>
      </c>
      <c r="B34" s="32" t="s">
        <v>1732</v>
      </c>
      <c r="E34" s="905">
        <f>-SUM('True-Up AH-2'!D34+'True-Up AH-2'!D47+'True-Up AH-2'!E43+'True-Up AH-2'!D40+'True-Up AH-2'!D50)</f>
        <v>-2906.7428199999999</v>
      </c>
      <c r="G34" s="90" t="s">
        <v>2109</v>
      </c>
      <c r="H34" s="4">
        <f>+H33+1</f>
        <v>24</v>
      </c>
    </row>
    <row r="35" spans="1:9" x14ac:dyDescent="0.25">
      <c r="A35" s="4">
        <f t="shared" si="0"/>
        <v>25</v>
      </c>
      <c r="B35" s="32" t="s">
        <v>470</v>
      </c>
      <c r="E35" s="48">
        <f>SUM(E22:E34)</f>
        <v>493473.78942533908</v>
      </c>
      <c r="G35" s="4" t="s">
        <v>1733</v>
      </c>
      <c r="H35" s="4">
        <f>+H34+1</f>
        <v>25</v>
      </c>
    </row>
    <row r="36" spans="1:9" x14ac:dyDescent="0.25">
      <c r="A36" s="4">
        <f t="shared" si="0"/>
        <v>26</v>
      </c>
      <c r="B36" s="32" t="s">
        <v>471</v>
      </c>
      <c r="E36" s="905">
        <f>-'True-Up AH-2'!F15</f>
        <v>-10560.587149999999</v>
      </c>
      <c r="G36" s="4" t="s">
        <v>1744</v>
      </c>
      <c r="H36" s="4">
        <f t="shared" ref="H36:H47" si="3">+H35+1</f>
        <v>26</v>
      </c>
    </row>
    <row r="37" spans="1:9" x14ac:dyDescent="0.25">
      <c r="A37" s="4">
        <f t="shared" si="0"/>
        <v>27</v>
      </c>
      <c r="B37" s="32" t="s">
        <v>473</v>
      </c>
      <c r="E37" s="48">
        <f>SUM(E35:E36)</f>
        <v>482913.20227533911</v>
      </c>
      <c r="G37" s="4" t="s">
        <v>1734</v>
      </c>
      <c r="H37" s="4">
        <f t="shared" si="3"/>
        <v>27</v>
      </c>
    </row>
    <row r="38" spans="1:9" x14ac:dyDescent="0.25">
      <c r="A38" s="4">
        <f t="shared" si="0"/>
        <v>28</v>
      </c>
      <c r="B38" s="31" t="s">
        <v>238</v>
      </c>
      <c r="E38" s="923">
        <f>+'True-Up Stmt AI'!E25</f>
        <v>0.21148052316352248</v>
      </c>
      <c r="G38" s="4" t="s">
        <v>239</v>
      </c>
      <c r="H38" s="4">
        <f t="shared" si="3"/>
        <v>28</v>
      </c>
    </row>
    <row r="39" spans="1:9" x14ac:dyDescent="0.25">
      <c r="A39" s="4">
        <f t="shared" si="0"/>
        <v>29</v>
      </c>
      <c r="B39" s="32" t="s">
        <v>474</v>
      </c>
      <c r="E39" s="908">
        <f>E37*E38</f>
        <v>102126.73665976067</v>
      </c>
      <c r="G39" s="4" t="s">
        <v>1600</v>
      </c>
      <c r="H39" s="4">
        <f t="shared" si="3"/>
        <v>29</v>
      </c>
    </row>
    <row r="40" spans="1:9" x14ac:dyDescent="0.25">
      <c r="A40" s="4">
        <f t="shared" si="0"/>
        <v>30</v>
      </c>
      <c r="B40" s="31" t="s">
        <v>475</v>
      </c>
      <c r="E40" s="922">
        <f>E60*(-E36)</f>
        <v>3890.7699869705525</v>
      </c>
      <c r="G40" s="4" t="s">
        <v>1735</v>
      </c>
      <c r="H40" s="4">
        <f t="shared" si="3"/>
        <v>30</v>
      </c>
    </row>
    <row r="41" spans="1:9" ht="16.5" thickBot="1" x14ac:dyDescent="0.3">
      <c r="A41" s="4">
        <f t="shared" si="0"/>
        <v>31</v>
      </c>
      <c r="B41" s="32" t="s">
        <v>476</v>
      </c>
      <c r="E41" s="24">
        <f>E40+E39</f>
        <v>106017.50664673123</v>
      </c>
      <c r="G41" s="4" t="s">
        <v>1736</v>
      </c>
      <c r="H41" s="4">
        <f t="shared" si="3"/>
        <v>31</v>
      </c>
      <c r="I41" s="32"/>
    </row>
    <row r="42" spans="1:9" ht="16.5" thickTop="1" x14ac:dyDescent="0.25">
      <c r="A42" s="4">
        <f t="shared" si="0"/>
        <v>32</v>
      </c>
      <c r="B42" s="339"/>
      <c r="E42" s="10"/>
      <c r="G42" s="4"/>
      <c r="H42" s="4">
        <f t="shared" si="3"/>
        <v>32</v>
      </c>
    </row>
    <row r="43" spans="1:9" x14ac:dyDescent="0.25">
      <c r="A43" s="4">
        <f t="shared" si="0"/>
        <v>33</v>
      </c>
      <c r="B43" s="249" t="s">
        <v>477</v>
      </c>
      <c r="E43" s="49"/>
      <c r="G43" s="4"/>
      <c r="H43" s="4">
        <f t="shared" si="3"/>
        <v>33</v>
      </c>
    </row>
    <row r="44" spans="1:9" x14ac:dyDescent="0.25">
      <c r="A44" s="4">
        <f t="shared" si="0"/>
        <v>34</v>
      </c>
      <c r="B44" s="32" t="s">
        <v>478</v>
      </c>
      <c r="E44" s="7">
        <f>'Stmt AD'!I35</f>
        <v>8948474.2530016713</v>
      </c>
      <c r="G44" s="4" t="s">
        <v>479</v>
      </c>
      <c r="H44" s="4">
        <f t="shared" si="3"/>
        <v>34</v>
      </c>
    </row>
    <row r="45" spans="1:9" x14ac:dyDescent="0.25">
      <c r="A45" s="4">
        <f t="shared" si="0"/>
        <v>35</v>
      </c>
      <c r="B45" s="32" t="s">
        <v>58</v>
      </c>
      <c r="E45" s="94">
        <v>0</v>
      </c>
      <c r="G45" s="4" t="s">
        <v>44</v>
      </c>
      <c r="H45" s="4">
        <f t="shared" si="3"/>
        <v>35</v>
      </c>
    </row>
    <row r="46" spans="1:9" x14ac:dyDescent="0.25">
      <c r="A46" s="4">
        <f t="shared" si="0"/>
        <v>36</v>
      </c>
      <c r="B46" s="32" t="s">
        <v>60</v>
      </c>
      <c r="E46" s="9">
        <f>'True Up Stmt AD'!I39</f>
        <v>65074.471004096384</v>
      </c>
      <c r="G46" s="4" t="s">
        <v>115</v>
      </c>
      <c r="H46" s="4">
        <f t="shared" si="3"/>
        <v>36</v>
      </c>
    </row>
    <row r="47" spans="1:9" x14ac:dyDescent="0.25">
      <c r="A47" s="4">
        <f t="shared" si="0"/>
        <v>37</v>
      </c>
      <c r="B47" s="32" t="s">
        <v>244</v>
      </c>
      <c r="E47" s="841">
        <f>'True Up Stmt AD'!I41</f>
        <v>416820.78184381907</v>
      </c>
      <c r="G47" s="4" t="s">
        <v>116</v>
      </c>
      <c r="H47" s="4">
        <f t="shared" si="3"/>
        <v>37</v>
      </c>
    </row>
    <row r="48" spans="1:9" ht="16.5" thickBot="1" x14ac:dyDescent="0.3">
      <c r="A48" s="4">
        <f t="shared" si="0"/>
        <v>38</v>
      </c>
      <c r="B48" s="32" t="s">
        <v>480</v>
      </c>
      <c r="E48" s="17">
        <f>SUM(E44:E47)</f>
        <v>9430369.5058495868</v>
      </c>
      <c r="G48" s="4" t="s">
        <v>1737</v>
      </c>
      <c r="H48" s="4">
        <f t="shared" si="1"/>
        <v>38</v>
      </c>
      <c r="I48" s="358"/>
    </row>
    <row r="49" spans="1:9" ht="16.5" thickTop="1" x14ac:dyDescent="0.25">
      <c r="A49" s="4">
        <f t="shared" si="0"/>
        <v>39</v>
      </c>
      <c r="B49" s="339"/>
      <c r="E49" s="6"/>
      <c r="G49" s="4"/>
      <c r="H49" s="4">
        <f t="shared" si="1"/>
        <v>39</v>
      </c>
    </row>
    <row r="50" spans="1:9" x14ac:dyDescent="0.25">
      <c r="A50" s="4">
        <f t="shared" si="0"/>
        <v>40</v>
      </c>
      <c r="B50" s="32" t="s">
        <v>240</v>
      </c>
      <c r="E50" s="35">
        <f>E44</f>
        <v>8948474.2530016713</v>
      </c>
      <c r="G50" s="46" t="s">
        <v>1738</v>
      </c>
      <c r="H50" s="4">
        <f>+H49+1</f>
        <v>40</v>
      </c>
    </row>
    <row r="51" spans="1:9" x14ac:dyDescent="0.25">
      <c r="A51" s="4">
        <f t="shared" si="0"/>
        <v>41</v>
      </c>
      <c r="B51" s="32" t="s">
        <v>481</v>
      </c>
      <c r="E51" s="12">
        <f>'Stmt AD'!I11</f>
        <v>605411.75423846149</v>
      </c>
      <c r="G51" s="4" t="s">
        <v>482</v>
      </c>
      <c r="H51" s="4">
        <f t="shared" ref="H51:H58" si="4">+H50+1</f>
        <v>41</v>
      </c>
    </row>
    <row r="52" spans="1:9" x14ac:dyDescent="0.25">
      <c r="A52" s="4">
        <f t="shared" si="0"/>
        <v>42</v>
      </c>
      <c r="B52" s="32" t="s">
        <v>483</v>
      </c>
      <c r="E52" s="94">
        <v>0</v>
      </c>
      <c r="G52" s="4" t="s">
        <v>44</v>
      </c>
      <c r="H52" s="4">
        <f t="shared" si="4"/>
        <v>42</v>
      </c>
    </row>
    <row r="53" spans="1:9" x14ac:dyDescent="0.25">
      <c r="A53" s="4">
        <f t="shared" si="0"/>
        <v>43</v>
      </c>
      <c r="B53" s="32" t="s">
        <v>484</v>
      </c>
      <c r="E53" s="12">
        <f>'Stmt AD'!I17</f>
        <v>619847.75273230788</v>
      </c>
      <c r="G53" s="4" t="s">
        <v>485</v>
      </c>
      <c r="H53" s="4">
        <f t="shared" si="4"/>
        <v>43</v>
      </c>
    </row>
    <row r="54" spans="1:9" x14ac:dyDescent="0.25">
      <c r="A54" s="4">
        <f t="shared" si="0"/>
        <v>44</v>
      </c>
      <c r="B54" s="32" t="s">
        <v>486</v>
      </c>
      <c r="E54" s="12">
        <f>'Stmt AD'!I19</f>
        <v>13144129.127553528</v>
      </c>
      <c r="G54" s="4" t="s">
        <v>487</v>
      </c>
      <c r="H54" s="4">
        <f t="shared" si="4"/>
        <v>44</v>
      </c>
    </row>
    <row r="55" spans="1:9" x14ac:dyDescent="0.25">
      <c r="A55" s="4">
        <f t="shared" si="0"/>
        <v>45</v>
      </c>
      <c r="B55" s="32" t="s">
        <v>58</v>
      </c>
      <c r="E55" s="94">
        <v>0</v>
      </c>
      <c r="G55" s="4" t="s">
        <v>44</v>
      </c>
      <c r="H55" s="4">
        <f t="shared" si="4"/>
        <v>45</v>
      </c>
    </row>
    <row r="56" spans="1:9" x14ac:dyDescent="0.25">
      <c r="A56" s="4">
        <f t="shared" si="0"/>
        <v>46</v>
      </c>
      <c r="B56" s="32" t="s">
        <v>488</v>
      </c>
      <c r="E56" s="12">
        <f>'Stmt AD'!I27</f>
        <v>307709.05060500081</v>
      </c>
      <c r="G56" s="4" t="s">
        <v>489</v>
      </c>
      <c r="H56" s="4">
        <f t="shared" si="4"/>
        <v>46</v>
      </c>
    </row>
    <row r="57" spans="1:9" x14ac:dyDescent="0.25">
      <c r="A57" s="4">
        <f t="shared" si="0"/>
        <v>47</v>
      </c>
      <c r="B57" s="32" t="s">
        <v>490</v>
      </c>
      <c r="E57" s="980">
        <f>'Stmt AD'!I29</f>
        <v>1970965.34285345</v>
      </c>
      <c r="G57" s="4" t="s">
        <v>491</v>
      </c>
      <c r="H57" s="4">
        <f t="shared" si="4"/>
        <v>47</v>
      </c>
    </row>
    <row r="58" spans="1:9" ht="16.5" thickBot="1" x14ac:dyDescent="0.3">
      <c r="A58" s="4">
        <f t="shared" si="0"/>
        <v>48</v>
      </c>
      <c r="B58" s="32" t="s">
        <v>492</v>
      </c>
      <c r="E58" s="95">
        <f>SUM(E50:E57)</f>
        <v>25596537.280984417</v>
      </c>
      <c r="G58" s="4" t="s">
        <v>1739</v>
      </c>
      <c r="H58" s="4">
        <f t="shared" si="4"/>
        <v>48</v>
      </c>
      <c r="I58" s="358"/>
    </row>
    <row r="59" spans="1:9" ht="16.5" thickTop="1" x14ac:dyDescent="0.25">
      <c r="A59" s="4">
        <f t="shared" si="0"/>
        <v>49</v>
      </c>
      <c r="E59" s="70"/>
      <c r="G59" s="4"/>
      <c r="H59" s="4">
        <f t="shared" si="1"/>
        <v>49</v>
      </c>
    </row>
    <row r="60" spans="1:9" ht="16.5" thickBot="1" x14ac:dyDescent="0.3">
      <c r="A60" s="4">
        <f t="shared" si="0"/>
        <v>50</v>
      </c>
      <c r="B60" s="32" t="s">
        <v>493</v>
      </c>
      <c r="E60" s="51">
        <f>E48/E58</f>
        <v>0.36842364271105443</v>
      </c>
      <c r="G60" s="4" t="s">
        <v>1740</v>
      </c>
      <c r="H60" s="4">
        <f t="shared" si="1"/>
        <v>50</v>
      </c>
      <c r="I60" s="358"/>
    </row>
    <row r="61" spans="1:9" ht="16.5" thickTop="1" x14ac:dyDescent="0.25">
      <c r="B61" s="32" t="s">
        <v>1</v>
      </c>
      <c r="E61" s="75"/>
      <c r="G61" s="4"/>
      <c r="H61" s="4"/>
    </row>
    <row r="62" spans="1:9" x14ac:dyDescent="0.25">
      <c r="B62" s="32"/>
      <c r="E62" s="75"/>
      <c r="F62" s="75"/>
      <c r="G62" s="4"/>
      <c r="H62" s="4"/>
    </row>
    <row r="63" spans="1:9" ht="18.75" x14ac:dyDescent="0.25">
      <c r="A63" s="265">
        <v>1</v>
      </c>
      <c r="B63" s="32" t="s">
        <v>2110</v>
      </c>
      <c r="H63" s="4"/>
    </row>
    <row r="64" spans="1:9" ht="18.75" x14ac:dyDescent="0.25">
      <c r="B64" s="32" t="s">
        <v>2111</v>
      </c>
      <c r="E64" s="70"/>
      <c r="F64" s="70"/>
      <c r="G64" s="4"/>
      <c r="H64" s="4"/>
    </row>
  </sheetData>
  <mergeCells count="5">
    <mergeCell ref="B2:G2"/>
    <mergeCell ref="B3:G3"/>
    <mergeCell ref="B4:G4"/>
    <mergeCell ref="B5:G5"/>
    <mergeCell ref="B6:G6"/>
  </mergeCells>
  <printOptions horizontalCentered="1"/>
  <pageMargins left="0.25" right="0.25" top="0.5" bottom="0.5" header="0.25" footer="0.25"/>
  <pageSetup scale="58" orientation="portrait" r:id="rId1"/>
  <headerFooter scaleWithDoc="0" alignWithMargins="0">
    <oddFooter>&amp;C&amp;A</oddFooter>
  </headerFooter>
  <customProperties>
    <customPr name="_pios_id" r:id="rId2"/>
  </customPropertie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14F2F-AECC-410E-B487-80296AA5B30C}">
  <sheetPr>
    <pageSetUpPr fitToPage="1"/>
  </sheetPr>
  <dimension ref="A1:L415"/>
  <sheetViews>
    <sheetView zoomScale="80" zoomScaleNormal="80" workbookViewId="0">
      <selection activeCell="K32" sqref="K32"/>
    </sheetView>
  </sheetViews>
  <sheetFormatPr defaultColWidth="13.42578125" defaultRowHeight="15.75" x14ac:dyDescent="0.25"/>
  <cols>
    <col min="1" max="1" width="5.28515625" style="4" customWidth="1"/>
    <col min="2" max="2" width="8.5703125" style="359" customWidth="1"/>
    <col min="3" max="3" width="63.7109375" style="31" customWidth="1"/>
    <col min="4" max="4" width="16.7109375" style="31" customWidth="1"/>
    <col min="5" max="5" width="16.7109375" style="6" customWidth="1"/>
    <col min="6" max="6" width="16.7109375" style="31" customWidth="1"/>
    <col min="7" max="7" width="35.7109375" style="31" customWidth="1"/>
    <col min="8" max="8" width="5.28515625" style="4" customWidth="1"/>
    <col min="9" max="16384" width="13.42578125" style="31"/>
  </cols>
  <sheetData>
    <row r="1" spans="1:11" x14ac:dyDescent="0.25">
      <c r="A1" s="217"/>
    </row>
    <row r="2" spans="1:11" s="1" customFormat="1" x14ac:dyDescent="0.25">
      <c r="A2" s="217"/>
      <c r="B2" s="1316" t="s">
        <v>0</v>
      </c>
      <c r="C2" s="1316"/>
      <c r="D2" s="1316"/>
      <c r="E2" s="1316"/>
      <c r="F2" s="1316"/>
      <c r="G2" s="1316"/>
      <c r="H2" s="217"/>
      <c r="J2"/>
      <c r="K2"/>
    </row>
    <row r="3" spans="1:11" s="1" customFormat="1" x14ac:dyDescent="0.25">
      <c r="A3" s="217"/>
      <c r="B3" s="1316" t="s">
        <v>494</v>
      </c>
      <c r="C3" s="1316"/>
      <c r="D3" s="1316"/>
      <c r="E3" s="1316"/>
      <c r="F3" s="1316"/>
      <c r="G3" s="1316"/>
      <c r="H3" s="217"/>
    </row>
    <row r="4" spans="1:11" s="1" customFormat="1" x14ac:dyDescent="0.25">
      <c r="A4" s="217"/>
      <c r="B4" s="1316" t="s">
        <v>2055</v>
      </c>
      <c r="C4" s="1316"/>
      <c r="D4" s="1316"/>
      <c r="E4" s="1316"/>
      <c r="F4" s="1316"/>
      <c r="G4" s="1316"/>
      <c r="H4" s="217"/>
      <c r="J4"/>
      <c r="K4"/>
    </row>
    <row r="5" spans="1:11" s="1" customFormat="1" x14ac:dyDescent="0.25">
      <c r="A5" s="217"/>
      <c r="B5" s="1312" t="s">
        <v>4</v>
      </c>
      <c r="C5" s="1312"/>
      <c r="D5" s="1312"/>
      <c r="E5" s="1312"/>
      <c r="F5" s="1312"/>
      <c r="G5" s="1312"/>
      <c r="H5" s="217"/>
    </row>
    <row r="6" spans="1:11" ht="16.5" thickBot="1" x14ac:dyDescent="0.3">
      <c r="A6" s="34"/>
      <c r="B6" s="360"/>
      <c r="C6" s="271"/>
      <c r="D6" s="271"/>
      <c r="E6" s="361"/>
      <c r="F6" s="271"/>
      <c r="G6" s="271"/>
    </row>
    <row r="7" spans="1:11" s="1" customFormat="1" x14ac:dyDescent="0.25">
      <c r="A7" s="4"/>
      <c r="B7" s="362"/>
      <c r="C7" s="363"/>
      <c r="D7" s="364" t="s">
        <v>187</v>
      </c>
      <c r="E7" s="365" t="s">
        <v>188</v>
      </c>
      <c r="F7" s="364" t="s">
        <v>495</v>
      </c>
      <c r="G7" s="366"/>
      <c r="H7" s="4"/>
    </row>
    <row r="8" spans="1:11" s="1" customFormat="1" x14ac:dyDescent="0.25">
      <c r="A8" s="4" t="s">
        <v>5</v>
      </c>
      <c r="B8" s="367" t="s">
        <v>453</v>
      </c>
      <c r="D8" s="269" t="s">
        <v>180</v>
      </c>
      <c r="E8" s="269" t="s">
        <v>496</v>
      </c>
      <c r="F8" s="269" t="s">
        <v>180</v>
      </c>
      <c r="G8" s="368"/>
      <c r="H8" s="4" t="s">
        <v>5</v>
      </c>
    </row>
    <row r="9" spans="1:11" s="1" customFormat="1" x14ac:dyDescent="0.25">
      <c r="A9" s="4" t="s">
        <v>6</v>
      </c>
      <c r="B9" s="369" t="s">
        <v>497</v>
      </c>
      <c r="C9" s="927" t="s">
        <v>311</v>
      </c>
      <c r="D9" s="274" t="s">
        <v>498</v>
      </c>
      <c r="E9" s="274" t="s">
        <v>499</v>
      </c>
      <c r="F9" s="274" t="s">
        <v>500</v>
      </c>
      <c r="G9" s="370" t="s">
        <v>8</v>
      </c>
      <c r="H9" s="4" t="s">
        <v>6</v>
      </c>
    </row>
    <row r="10" spans="1:11" s="1" customFormat="1" x14ac:dyDescent="0.25">
      <c r="A10" s="4"/>
      <c r="B10" s="371"/>
      <c r="C10" s="372" t="s">
        <v>501</v>
      </c>
      <c r="D10" s="981"/>
      <c r="E10" s="981"/>
      <c r="F10" s="981"/>
      <c r="G10" s="373"/>
      <c r="H10" s="4"/>
      <c r="J10" s="31"/>
      <c r="K10" s="31"/>
    </row>
    <row r="11" spans="1:11" s="1" customFormat="1" x14ac:dyDescent="0.25">
      <c r="A11" s="4">
        <v>1</v>
      </c>
      <c r="B11" s="374">
        <v>560</v>
      </c>
      <c r="C11" s="31" t="s">
        <v>502</v>
      </c>
      <c r="D11" s="231">
        <v>16350.804</v>
      </c>
      <c r="E11" s="231">
        <f>E47</f>
        <v>112.02455</v>
      </c>
      <c r="F11" s="231">
        <f t="shared" ref="F11:F25" si="0">D11-E11</f>
        <v>16238.77945</v>
      </c>
      <c r="G11" s="375" t="s">
        <v>503</v>
      </c>
      <c r="H11" s="4">
        <f>A11</f>
        <v>1</v>
      </c>
      <c r="J11" s="31"/>
      <c r="K11" s="31"/>
    </row>
    <row r="12" spans="1:11" s="1" customFormat="1" x14ac:dyDescent="0.25">
      <c r="A12" s="4">
        <f>A11+1</f>
        <v>2</v>
      </c>
      <c r="B12" s="374">
        <v>561.1</v>
      </c>
      <c r="C12" s="31" t="s">
        <v>504</v>
      </c>
      <c r="D12" s="232">
        <v>589.39499999999998</v>
      </c>
      <c r="E12" s="232">
        <v>0</v>
      </c>
      <c r="F12" s="232">
        <f t="shared" si="0"/>
        <v>589.39499999999998</v>
      </c>
      <c r="G12" s="375" t="s">
        <v>505</v>
      </c>
      <c r="H12" s="4">
        <f>H11+1</f>
        <v>2</v>
      </c>
      <c r="J12" s="31"/>
      <c r="K12" s="31"/>
    </row>
    <row r="13" spans="1:11" s="1" customFormat="1" x14ac:dyDescent="0.25">
      <c r="A13" s="4">
        <f t="shared" ref="A13:A60" si="1">A12+1</f>
        <v>3</v>
      </c>
      <c r="B13" s="374">
        <v>561.20000000000005</v>
      </c>
      <c r="C13" s="31" t="s">
        <v>506</v>
      </c>
      <c r="D13" s="232">
        <v>1790.047</v>
      </c>
      <c r="E13" s="232">
        <v>0</v>
      </c>
      <c r="F13" s="232">
        <f t="shared" si="0"/>
        <v>1790.047</v>
      </c>
      <c r="G13" s="375" t="s">
        <v>507</v>
      </c>
      <c r="H13" s="4">
        <f t="shared" ref="H13:H60" si="2">H12+1</f>
        <v>3</v>
      </c>
      <c r="J13" s="31"/>
      <c r="K13" s="31"/>
    </row>
    <row r="14" spans="1:11" s="1" customFormat="1" x14ac:dyDescent="0.25">
      <c r="A14" s="4">
        <f t="shared" si="1"/>
        <v>4</v>
      </c>
      <c r="B14" s="374">
        <v>561.29999999999995</v>
      </c>
      <c r="C14" s="31" t="s">
        <v>508</v>
      </c>
      <c r="D14" s="232">
        <v>407.45699999999999</v>
      </c>
      <c r="E14" s="232">
        <v>0</v>
      </c>
      <c r="F14" s="232">
        <f t="shared" si="0"/>
        <v>407.45699999999999</v>
      </c>
      <c r="G14" s="375" t="s">
        <v>509</v>
      </c>
      <c r="H14" s="4">
        <f t="shared" si="2"/>
        <v>4</v>
      </c>
      <c r="J14" s="31"/>
      <c r="K14" s="31"/>
    </row>
    <row r="15" spans="1:11" s="1" customFormat="1" ht="17.25" customHeight="1" x14ac:dyDescent="0.25">
      <c r="A15" s="4">
        <f t="shared" si="1"/>
        <v>5</v>
      </c>
      <c r="B15" s="374">
        <v>561.4</v>
      </c>
      <c r="C15" s="31" t="s">
        <v>510</v>
      </c>
      <c r="D15" s="232">
        <v>2615.1480000000001</v>
      </c>
      <c r="E15" s="6">
        <f>E48</f>
        <v>2615.1482700000001</v>
      </c>
      <c r="F15" s="232">
        <f t="shared" si="0"/>
        <v>-2.7000000000043656E-4</v>
      </c>
      <c r="G15" s="375" t="s">
        <v>511</v>
      </c>
      <c r="H15" s="4">
        <f t="shared" si="2"/>
        <v>5</v>
      </c>
      <c r="J15" s="31"/>
      <c r="K15" s="31"/>
    </row>
    <row r="16" spans="1:11" s="1" customFormat="1" x14ac:dyDescent="0.25">
      <c r="A16" s="4">
        <f t="shared" si="1"/>
        <v>6</v>
      </c>
      <c r="B16" s="374">
        <v>561.5</v>
      </c>
      <c r="C16" s="31" t="s">
        <v>512</v>
      </c>
      <c r="D16" s="232">
        <v>104.676</v>
      </c>
      <c r="E16" s="232">
        <v>0</v>
      </c>
      <c r="F16" s="232">
        <f t="shared" si="0"/>
        <v>104.676</v>
      </c>
      <c r="G16" s="375" t="s">
        <v>513</v>
      </c>
      <c r="H16" s="4">
        <f t="shared" si="2"/>
        <v>6</v>
      </c>
      <c r="J16" s="31"/>
      <c r="K16" s="31"/>
    </row>
    <row r="17" spans="1:11" s="1" customFormat="1" x14ac:dyDescent="0.25">
      <c r="A17" s="4">
        <f t="shared" si="1"/>
        <v>7</v>
      </c>
      <c r="B17" s="374">
        <v>561.6</v>
      </c>
      <c r="C17" s="31" t="s">
        <v>514</v>
      </c>
      <c r="D17" s="232">
        <v>0</v>
      </c>
      <c r="E17" s="232">
        <v>0</v>
      </c>
      <c r="F17" s="232">
        <f t="shared" si="0"/>
        <v>0</v>
      </c>
      <c r="G17" s="375" t="s">
        <v>515</v>
      </c>
      <c r="H17" s="4">
        <f t="shared" si="2"/>
        <v>7</v>
      </c>
      <c r="J17" s="31"/>
      <c r="K17" s="31"/>
    </row>
    <row r="18" spans="1:11" s="1" customFormat="1" x14ac:dyDescent="0.25">
      <c r="A18" s="4">
        <f t="shared" si="1"/>
        <v>8</v>
      </c>
      <c r="B18" s="374">
        <v>561.70000000000005</v>
      </c>
      <c r="C18" s="31" t="s">
        <v>516</v>
      </c>
      <c r="D18" s="232">
        <v>0</v>
      </c>
      <c r="E18" s="232">
        <v>0</v>
      </c>
      <c r="F18" s="232">
        <f t="shared" si="0"/>
        <v>0</v>
      </c>
      <c r="G18" s="982" t="s">
        <v>517</v>
      </c>
      <c r="H18" s="4">
        <f t="shared" si="2"/>
        <v>8</v>
      </c>
      <c r="J18" s="31"/>
      <c r="K18" s="31"/>
    </row>
    <row r="19" spans="1:11" s="1" customFormat="1" x14ac:dyDescent="0.25">
      <c r="A19" s="4">
        <f t="shared" si="1"/>
        <v>9</v>
      </c>
      <c r="B19" s="374">
        <v>561.79999999999995</v>
      </c>
      <c r="C19" s="31" t="s">
        <v>518</v>
      </c>
      <c r="D19" s="232">
        <v>2283.1880000000001</v>
      </c>
      <c r="E19" s="6">
        <f>E49</f>
        <v>1345.1913</v>
      </c>
      <c r="F19" s="232">
        <f t="shared" si="0"/>
        <v>937.99670000000015</v>
      </c>
      <c r="G19" s="982" t="s">
        <v>519</v>
      </c>
      <c r="H19" s="4">
        <f t="shared" si="2"/>
        <v>9</v>
      </c>
      <c r="J19" s="31"/>
      <c r="K19" s="31"/>
    </row>
    <row r="20" spans="1:11" s="1" customFormat="1" ht="15" customHeight="1" x14ac:dyDescent="0.25">
      <c r="A20" s="4">
        <f t="shared" si="1"/>
        <v>10</v>
      </c>
      <c r="B20" s="374">
        <v>562</v>
      </c>
      <c r="C20" s="31" t="s">
        <v>520</v>
      </c>
      <c r="D20" s="232">
        <v>10741.927</v>
      </c>
      <c r="E20" s="232">
        <v>0</v>
      </c>
      <c r="F20" s="232">
        <f t="shared" si="0"/>
        <v>10741.927</v>
      </c>
      <c r="G20" s="982" t="s">
        <v>521</v>
      </c>
      <c r="H20" s="4">
        <f t="shared" si="2"/>
        <v>10</v>
      </c>
      <c r="J20" s="31"/>
      <c r="K20" s="31"/>
    </row>
    <row r="21" spans="1:11" s="1" customFormat="1" x14ac:dyDescent="0.25">
      <c r="A21" s="4">
        <f t="shared" si="1"/>
        <v>11</v>
      </c>
      <c r="B21" s="374">
        <v>563</v>
      </c>
      <c r="C21" s="31" t="s">
        <v>522</v>
      </c>
      <c r="D21" s="232">
        <v>7985.0609999999997</v>
      </c>
      <c r="E21" s="232">
        <v>0</v>
      </c>
      <c r="F21" s="232">
        <f t="shared" si="0"/>
        <v>7985.0609999999997</v>
      </c>
      <c r="G21" s="982" t="s">
        <v>523</v>
      </c>
      <c r="H21" s="4">
        <f t="shared" si="2"/>
        <v>11</v>
      </c>
      <c r="J21" s="31"/>
      <c r="K21" s="31"/>
    </row>
    <row r="22" spans="1:11" s="1" customFormat="1" x14ac:dyDescent="0.25">
      <c r="A22" s="4">
        <f>A21+1</f>
        <v>12</v>
      </c>
      <c r="B22" s="374">
        <v>564</v>
      </c>
      <c r="C22" s="31" t="s">
        <v>524</v>
      </c>
      <c r="D22" s="232">
        <v>0</v>
      </c>
      <c r="E22" s="232">
        <v>0</v>
      </c>
      <c r="F22" s="232">
        <f t="shared" si="0"/>
        <v>0</v>
      </c>
      <c r="G22" s="982" t="s">
        <v>525</v>
      </c>
      <c r="H22" s="4">
        <f>H21+1</f>
        <v>12</v>
      </c>
      <c r="J22" s="31"/>
      <c r="K22" s="31"/>
    </row>
    <row r="23" spans="1:11" s="1" customFormat="1" x14ac:dyDescent="0.25">
      <c r="A23" s="4">
        <f t="shared" si="1"/>
        <v>13</v>
      </c>
      <c r="B23" s="374">
        <v>565</v>
      </c>
      <c r="C23" s="31" t="s">
        <v>526</v>
      </c>
      <c r="D23" s="232">
        <v>0</v>
      </c>
      <c r="E23" s="232">
        <v>0</v>
      </c>
      <c r="F23" s="232">
        <f t="shared" si="0"/>
        <v>0</v>
      </c>
      <c r="G23" s="982" t="s">
        <v>527</v>
      </c>
      <c r="H23" s="4">
        <f t="shared" si="2"/>
        <v>13</v>
      </c>
      <c r="J23" s="31"/>
      <c r="K23" s="31"/>
    </row>
    <row r="24" spans="1:11" s="1" customFormat="1" x14ac:dyDescent="0.25">
      <c r="A24" s="4">
        <f t="shared" si="1"/>
        <v>14</v>
      </c>
      <c r="B24" s="374">
        <v>566</v>
      </c>
      <c r="C24" s="31" t="s">
        <v>528</v>
      </c>
      <c r="D24" s="232">
        <v>5249.6149999999998</v>
      </c>
      <c r="E24" s="6">
        <f>E55</f>
        <v>-7133.1540700000005</v>
      </c>
      <c r="F24" s="232">
        <f t="shared" si="0"/>
        <v>12382.76907</v>
      </c>
      <c r="G24" s="982" t="s">
        <v>529</v>
      </c>
      <c r="H24" s="4">
        <f t="shared" si="2"/>
        <v>14</v>
      </c>
      <c r="J24" s="31"/>
      <c r="K24" s="31"/>
    </row>
    <row r="25" spans="1:11" s="1" customFormat="1" x14ac:dyDescent="0.25">
      <c r="A25" s="4">
        <f>A24+1</f>
        <v>15</v>
      </c>
      <c r="B25" s="374">
        <v>567</v>
      </c>
      <c r="C25" s="31" t="s">
        <v>530</v>
      </c>
      <c r="D25" s="93">
        <v>3976.8820000000001</v>
      </c>
      <c r="E25" s="93">
        <v>0</v>
      </c>
      <c r="F25" s="93">
        <f t="shared" si="0"/>
        <v>3976.8820000000001</v>
      </c>
      <c r="G25" s="982" t="s">
        <v>531</v>
      </c>
      <c r="H25" s="4">
        <f t="shared" si="2"/>
        <v>15</v>
      </c>
      <c r="J25" s="31"/>
      <c r="K25" s="31"/>
    </row>
    <row r="26" spans="1:11" s="1" customFormat="1" x14ac:dyDescent="0.25">
      <c r="A26" s="4">
        <f>A25+1</f>
        <v>16</v>
      </c>
      <c r="B26" s="374"/>
      <c r="C26" s="31"/>
      <c r="D26" s="232"/>
      <c r="E26" s="6"/>
      <c r="F26" s="232"/>
      <c r="G26" s="375"/>
      <c r="H26" s="4">
        <f>H25+1</f>
        <v>16</v>
      </c>
      <c r="J26" s="31"/>
      <c r="K26" s="31"/>
    </row>
    <row r="27" spans="1:11" s="1" customFormat="1" ht="16.5" thickBot="1" x14ac:dyDescent="0.3">
      <c r="A27" s="4">
        <f>A26+1</f>
        <v>17</v>
      </c>
      <c r="B27" s="376"/>
      <c r="C27" s="983" t="s">
        <v>532</v>
      </c>
      <c r="D27" s="96">
        <f>SUM(D11:D25)</f>
        <v>52094.19999999999</v>
      </c>
      <c r="E27" s="984">
        <f>SUM(E11:E25)</f>
        <v>-3060.7899500000003</v>
      </c>
      <c r="F27" s="96">
        <f>SUM(F11:F25)</f>
        <v>55154.989949999996</v>
      </c>
      <c r="G27" s="985" t="str">
        <f>"Sum Lines "&amp;A11&amp;" thru "&amp;A25</f>
        <v>Sum Lines 1 thru 15</v>
      </c>
      <c r="H27" s="4">
        <f>H26+1</f>
        <v>17</v>
      </c>
      <c r="J27" s="31"/>
      <c r="K27" s="31"/>
    </row>
    <row r="28" spans="1:11" s="1" customFormat="1" x14ac:dyDescent="0.25">
      <c r="A28" s="4">
        <f t="shared" si="1"/>
        <v>18</v>
      </c>
      <c r="B28" s="377"/>
      <c r="C28" s="31"/>
      <c r="D28" s="986"/>
      <c r="E28" s="97"/>
      <c r="F28" s="986"/>
      <c r="G28" s="982"/>
      <c r="H28" s="4">
        <f t="shared" si="2"/>
        <v>18</v>
      </c>
      <c r="J28" s="31"/>
      <c r="K28" s="31"/>
    </row>
    <row r="29" spans="1:11" s="1" customFormat="1" x14ac:dyDescent="0.25">
      <c r="A29" s="4">
        <f t="shared" si="1"/>
        <v>19</v>
      </c>
      <c r="B29" s="371"/>
      <c r="C29" s="372" t="s">
        <v>533</v>
      </c>
      <c r="D29" s="986"/>
      <c r="E29" s="97"/>
      <c r="F29" s="986"/>
      <c r="G29" s="982"/>
      <c r="H29" s="4">
        <f t="shared" si="2"/>
        <v>19</v>
      </c>
      <c r="J29" s="31"/>
      <c r="K29" s="31"/>
    </row>
    <row r="30" spans="1:11" s="1" customFormat="1" x14ac:dyDescent="0.25">
      <c r="A30" s="4">
        <f t="shared" si="1"/>
        <v>20</v>
      </c>
      <c r="B30" s="374">
        <v>568</v>
      </c>
      <c r="C30" s="31" t="s">
        <v>534</v>
      </c>
      <c r="D30" s="231">
        <v>3327.1379999999999</v>
      </c>
      <c r="E30" s="231">
        <v>0</v>
      </c>
      <c r="F30" s="231">
        <f t="shared" ref="F30:F39" si="3">D30-E30</f>
        <v>3327.1379999999999</v>
      </c>
      <c r="G30" s="982" t="s">
        <v>535</v>
      </c>
      <c r="H30" s="4">
        <f t="shared" si="2"/>
        <v>20</v>
      </c>
      <c r="J30" s="31"/>
      <c r="K30" s="31"/>
    </row>
    <row r="31" spans="1:11" s="1" customFormat="1" x14ac:dyDescent="0.25">
      <c r="A31" s="4">
        <f t="shared" si="1"/>
        <v>21</v>
      </c>
      <c r="B31" s="374">
        <v>569</v>
      </c>
      <c r="C31" s="31" t="s">
        <v>536</v>
      </c>
      <c r="D31" s="232">
        <v>392.358</v>
      </c>
      <c r="E31" s="6">
        <v>0</v>
      </c>
      <c r="F31" s="232">
        <f t="shared" si="3"/>
        <v>392.358</v>
      </c>
      <c r="G31" s="982" t="s">
        <v>537</v>
      </c>
      <c r="H31" s="4">
        <f t="shared" si="2"/>
        <v>21</v>
      </c>
      <c r="J31" s="31"/>
      <c r="K31" s="31"/>
    </row>
    <row r="32" spans="1:11" s="1" customFormat="1" x14ac:dyDescent="0.25">
      <c r="A32" s="4">
        <f t="shared" si="1"/>
        <v>22</v>
      </c>
      <c r="B32" s="374">
        <v>569.1</v>
      </c>
      <c r="C32" s="31" t="s">
        <v>538</v>
      </c>
      <c r="D32" s="232">
        <v>1025.991</v>
      </c>
      <c r="E32" s="6">
        <v>0</v>
      </c>
      <c r="F32" s="232">
        <f t="shared" si="3"/>
        <v>1025.991</v>
      </c>
      <c r="G32" s="982" t="s">
        <v>539</v>
      </c>
      <c r="H32" s="4">
        <f t="shared" si="2"/>
        <v>22</v>
      </c>
      <c r="J32" s="31"/>
      <c r="K32" s="31"/>
    </row>
    <row r="33" spans="1:11" s="1" customFormat="1" x14ac:dyDescent="0.25">
      <c r="A33" s="4">
        <f t="shared" si="1"/>
        <v>23</v>
      </c>
      <c r="B33" s="374">
        <v>569.20000000000005</v>
      </c>
      <c r="C33" s="31" t="s">
        <v>540</v>
      </c>
      <c r="D33" s="232">
        <v>3226.54</v>
      </c>
      <c r="E33" s="6">
        <v>0</v>
      </c>
      <c r="F33" s="232">
        <f t="shared" si="3"/>
        <v>3226.54</v>
      </c>
      <c r="G33" s="982" t="s">
        <v>541</v>
      </c>
      <c r="H33" s="4">
        <f t="shared" si="2"/>
        <v>23</v>
      </c>
      <c r="J33" s="31"/>
      <c r="K33" s="31"/>
    </row>
    <row r="34" spans="1:11" s="1" customFormat="1" x14ac:dyDescent="0.25">
      <c r="A34" s="4">
        <f t="shared" si="1"/>
        <v>24</v>
      </c>
      <c r="B34" s="374">
        <v>569.29999999999995</v>
      </c>
      <c r="C34" s="31" t="s">
        <v>542</v>
      </c>
      <c r="D34" s="232">
        <v>5.5E-2</v>
      </c>
      <c r="E34" s="6">
        <v>0</v>
      </c>
      <c r="F34" s="232">
        <f t="shared" si="3"/>
        <v>5.5E-2</v>
      </c>
      <c r="G34" s="982" t="s">
        <v>543</v>
      </c>
      <c r="H34" s="4">
        <f t="shared" si="2"/>
        <v>24</v>
      </c>
      <c r="J34" s="31"/>
      <c r="K34" s="31"/>
    </row>
    <row r="35" spans="1:11" s="1" customFormat="1" x14ac:dyDescent="0.25">
      <c r="A35" s="4">
        <f t="shared" si="1"/>
        <v>25</v>
      </c>
      <c r="B35" s="374">
        <v>569.4</v>
      </c>
      <c r="C35" s="31" t="s">
        <v>544</v>
      </c>
      <c r="D35" s="232">
        <v>131.63300000000001</v>
      </c>
      <c r="E35" s="6">
        <v>0</v>
      </c>
      <c r="F35" s="232">
        <f t="shared" si="3"/>
        <v>131.63300000000001</v>
      </c>
      <c r="G35" s="982" t="s">
        <v>545</v>
      </c>
      <c r="H35" s="4">
        <f t="shared" si="2"/>
        <v>25</v>
      </c>
      <c r="J35" s="31"/>
      <c r="K35" s="31"/>
    </row>
    <row r="36" spans="1:11" s="1" customFormat="1" x14ac:dyDescent="0.25">
      <c r="A36" s="4">
        <f t="shared" si="1"/>
        <v>26</v>
      </c>
      <c r="B36" s="374">
        <v>570</v>
      </c>
      <c r="C36" s="31" t="s">
        <v>546</v>
      </c>
      <c r="D36" s="232">
        <v>20255.937000000002</v>
      </c>
      <c r="E36" s="6">
        <v>0</v>
      </c>
      <c r="F36" s="232">
        <f t="shared" si="3"/>
        <v>20255.937000000002</v>
      </c>
      <c r="G36" s="982" t="s">
        <v>547</v>
      </c>
      <c r="H36" s="4">
        <f t="shared" si="2"/>
        <v>26</v>
      </c>
      <c r="J36" s="31"/>
      <c r="K36" s="31"/>
    </row>
    <row r="37" spans="1:11" s="1" customFormat="1" x14ac:dyDescent="0.25">
      <c r="A37" s="4">
        <f t="shared" si="1"/>
        <v>27</v>
      </c>
      <c r="B37" s="374">
        <v>571</v>
      </c>
      <c r="C37" s="31" t="s">
        <v>548</v>
      </c>
      <c r="D37" s="232">
        <v>27559.614000000001</v>
      </c>
      <c r="E37" s="6">
        <v>0</v>
      </c>
      <c r="F37" s="232">
        <f t="shared" si="3"/>
        <v>27559.614000000001</v>
      </c>
      <c r="G37" s="982" t="s">
        <v>549</v>
      </c>
      <c r="H37" s="4">
        <f t="shared" si="2"/>
        <v>27</v>
      </c>
      <c r="I37" s="2"/>
      <c r="J37" s="31"/>
      <c r="K37" s="31"/>
    </row>
    <row r="38" spans="1:11" s="1" customFormat="1" x14ac:dyDescent="0.25">
      <c r="A38" s="4">
        <f t="shared" si="1"/>
        <v>28</v>
      </c>
      <c r="B38" s="374">
        <v>572</v>
      </c>
      <c r="C38" s="31" t="s">
        <v>550</v>
      </c>
      <c r="D38" s="232">
        <v>1212.9069999999999</v>
      </c>
      <c r="E38" s="6">
        <v>0</v>
      </c>
      <c r="F38" s="232">
        <f t="shared" si="3"/>
        <v>1212.9069999999999</v>
      </c>
      <c r="G38" s="375" t="s">
        <v>551</v>
      </c>
      <c r="H38" s="4">
        <f t="shared" si="2"/>
        <v>28</v>
      </c>
      <c r="I38" s="2"/>
      <c r="J38" s="31"/>
      <c r="K38" s="31"/>
    </row>
    <row r="39" spans="1:11" s="1" customFormat="1" x14ac:dyDescent="0.25">
      <c r="A39" s="4">
        <f t="shared" si="1"/>
        <v>29</v>
      </c>
      <c r="B39" s="374">
        <v>573</v>
      </c>
      <c r="C39" s="31" t="s">
        <v>552</v>
      </c>
      <c r="D39" s="232">
        <v>-0.36599999999999999</v>
      </c>
      <c r="E39" s="93">
        <v>0</v>
      </c>
      <c r="F39" s="93">
        <f t="shared" si="3"/>
        <v>-0.36599999999999999</v>
      </c>
      <c r="G39" s="375" t="s">
        <v>553</v>
      </c>
      <c r="H39" s="4">
        <f t="shared" si="2"/>
        <v>29</v>
      </c>
      <c r="I39" s="3"/>
      <c r="J39" s="31"/>
      <c r="K39" s="31"/>
    </row>
    <row r="40" spans="1:11" s="1" customFormat="1" x14ac:dyDescent="0.25">
      <c r="A40" s="4">
        <f t="shared" si="1"/>
        <v>30</v>
      </c>
      <c r="B40" s="374"/>
      <c r="C40" s="31"/>
      <c r="D40" s="987"/>
      <c r="E40" s="6"/>
      <c r="F40" s="987"/>
      <c r="G40" s="375"/>
      <c r="H40" s="4">
        <f t="shared" si="2"/>
        <v>30</v>
      </c>
      <c r="J40" s="31"/>
      <c r="K40" s="31"/>
    </row>
    <row r="41" spans="1:11" s="1" customFormat="1" x14ac:dyDescent="0.25">
      <c r="A41" s="4">
        <f t="shared" si="1"/>
        <v>31</v>
      </c>
      <c r="B41" s="377"/>
      <c r="C41" s="258" t="s">
        <v>554</v>
      </c>
      <c r="D41" s="231">
        <f>SUM(D30:D39)</f>
        <v>57131.807000000001</v>
      </c>
      <c r="E41" s="231">
        <f>SUM(E30:E39)</f>
        <v>0</v>
      </c>
      <c r="F41" s="231">
        <f>SUM(F30:F39)</f>
        <v>57131.807000000001</v>
      </c>
      <c r="G41" s="375" t="str">
        <f>"Sum Lines "&amp;A30&amp;" thru "&amp;A39</f>
        <v>Sum Lines 20 thru 29</v>
      </c>
      <c r="H41" s="4">
        <f t="shared" si="2"/>
        <v>31</v>
      </c>
      <c r="J41" s="31"/>
      <c r="K41" s="31"/>
    </row>
    <row r="42" spans="1:11" s="1" customFormat="1" x14ac:dyDescent="0.25">
      <c r="A42" s="4">
        <f t="shared" si="1"/>
        <v>32</v>
      </c>
      <c r="B42" s="377"/>
      <c r="C42" s="31"/>
      <c r="D42" s="977"/>
      <c r="E42" s="977"/>
      <c r="F42" s="977"/>
      <c r="G42" s="375"/>
      <c r="H42" s="4">
        <f t="shared" si="2"/>
        <v>32</v>
      </c>
      <c r="J42" s="31"/>
      <c r="K42" s="31"/>
    </row>
    <row r="43" spans="1:11" s="1" customFormat="1" ht="16.5" thickBot="1" x14ac:dyDescent="0.3">
      <c r="A43" s="4">
        <f t="shared" si="1"/>
        <v>33</v>
      </c>
      <c r="B43" s="367"/>
      <c r="C43" s="1" t="s">
        <v>555</v>
      </c>
      <c r="D43" s="98">
        <f>D27+D41</f>
        <v>109226.00699999998</v>
      </c>
      <c r="E43" s="98">
        <f>+E27+E41</f>
        <v>-3060.7899500000003</v>
      </c>
      <c r="F43" s="98">
        <f>+F27+F41</f>
        <v>112286.79694999999</v>
      </c>
      <c r="G43" s="375" t="str">
        <f>"Line "&amp;A27&amp;" + Line "&amp;A41</f>
        <v>Line 17 + Line 31</v>
      </c>
      <c r="H43" s="4">
        <f t="shared" si="2"/>
        <v>33</v>
      </c>
      <c r="J43" s="31"/>
      <c r="K43" s="31"/>
    </row>
    <row r="44" spans="1:11" ht="17.25" thickTop="1" thickBot="1" x14ac:dyDescent="0.3">
      <c r="A44" s="4">
        <f t="shared" si="1"/>
        <v>34</v>
      </c>
      <c r="B44" s="378"/>
      <c r="C44" s="862"/>
      <c r="D44" s="99"/>
      <c r="E44" s="99"/>
      <c r="F44" s="99"/>
      <c r="G44" s="195"/>
      <c r="H44" s="4">
        <f t="shared" si="2"/>
        <v>34</v>
      </c>
    </row>
    <row r="45" spans="1:11" x14ac:dyDescent="0.25">
      <c r="A45" s="4">
        <f t="shared" si="1"/>
        <v>35</v>
      </c>
      <c r="B45" s="379"/>
      <c r="D45" s="97"/>
      <c r="E45" s="97"/>
      <c r="F45" s="97"/>
      <c r="G45" s="380"/>
      <c r="H45" s="4">
        <f>H44+1</f>
        <v>35</v>
      </c>
    </row>
    <row r="46" spans="1:11" x14ac:dyDescent="0.25">
      <c r="A46" s="4">
        <f t="shared" si="1"/>
        <v>36</v>
      </c>
      <c r="B46" s="381" t="s">
        <v>556</v>
      </c>
      <c r="D46" s="97"/>
      <c r="E46" s="97"/>
      <c r="F46" s="97"/>
      <c r="G46" s="380"/>
      <c r="H46" s="4">
        <f t="shared" si="2"/>
        <v>36</v>
      </c>
    </row>
    <row r="47" spans="1:11" x14ac:dyDescent="0.25">
      <c r="A47" s="4">
        <f t="shared" si="1"/>
        <v>37</v>
      </c>
      <c r="B47" s="379" t="s">
        <v>557</v>
      </c>
      <c r="C47" s="31" t="s">
        <v>1838</v>
      </c>
      <c r="D47" s="97"/>
      <c r="E47" s="35">
        <v>112.02455</v>
      </c>
      <c r="F47" s="97"/>
      <c r="G47" s="380"/>
      <c r="H47" s="4">
        <f t="shared" si="2"/>
        <v>37</v>
      </c>
      <c r="I47"/>
      <c r="J47"/>
      <c r="K47"/>
    </row>
    <row r="48" spans="1:11" x14ac:dyDescent="0.25">
      <c r="A48" s="4">
        <f t="shared" si="1"/>
        <v>38</v>
      </c>
      <c r="B48" s="379" t="s">
        <v>558</v>
      </c>
      <c r="C48" s="31" t="s">
        <v>559</v>
      </c>
      <c r="D48" s="97"/>
      <c r="E48" s="6">
        <v>2615.1482700000001</v>
      </c>
      <c r="G48" s="380"/>
      <c r="H48" s="4">
        <f t="shared" si="2"/>
        <v>38</v>
      </c>
    </row>
    <row r="49" spans="1:12" x14ac:dyDescent="0.25">
      <c r="A49" s="4">
        <f t="shared" si="1"/>
        <v>39</v>
      </c>
      <c r="B49" s="379">
        <v>561.79999999999995</v>
      </c>
      <c r="C49" s="31" t="s">
        <v>560</v>
      </c>
      <c r="D49" s="97"/>
      <c r="E49" s="6">
        <v>1345.1913</v>
      </c>
      <c r="G49" s="380"/>
      <c r="H49" s="4">
        <f t="shared" si="2"/>
        <v>39</v>
      </c>
    </row>
    <row r="50" spans="1:12" x14ac:dyDescent="0.25">
      <c r="A50" s="4">
        <f t="shared" si="1"/>
        <v>40</v>
      </c>
      <c r="B50" s="379">
        <v>565</v>
      </c>
      <c r="C50" s="31" t="s">
        <v>561</v>
      </c>
      <c r="D50" s="97"/>
      <c r="E50" s="6">
        <v>0</v>
      </c>
      <c r="F50" s="100"/>
      <c r="G50" s="380"/>
      <c r="H50" s="4">
        <f t="shared" si="2"/>
        <v>40</v>
      </c>
    </row>
    <row r="51" spans="1:12" x14ac:dyDescent="0.25">
      <c r="A51" s="4">
        <f t="shared" si="1"/>
        <v>41</v>
      </c>
      <c r="B51" s="379" t="s">
        <v>562</v>
      </c>
      <c r="C51" s="31" t="s">
        <v>563</v>
      </c>
      <c r="D51" s="35">
        <v>0</v>
      </c>
      <c r="F51" s="97"/>
      <c r="G51" s="380"/>
      <c r="H51" s="4">
        <f t="shared" si="2"/>
        <v>41</v>
      </c>
    </row>
    <row r="52" spans="1:12" x14ac:dyDescent="0.25">
      <c r="A52" s="4">
        <f t="shared" si="1"/>
        <v>42</v>
      </c>
      <c r="B52" s="379"/>
      <c r="C52" s="31" t="s">
        <v>564</v>
      </c>
      <c r="D52" s="6">
        <v>0</v>
      </c>
      <c r="F52" s="97"/>
      <c r="G52" s="380"/>
      <c r="H52" s="4">
        <f t="shared" si="2"/>
        <v>42</v>
      </c>
    </row>
    <row r="53" spans="1:12" x14ac:dyDescent="0.25">
      <c r="A53" s="4">
        <f t="shared" si="1"/>
        <v>43</v>
      </c>
      <c r="B53" s="379"/>
      <c r="C53" s="31" t="s">
        <v>565</v>
      </c>
      <c r="D53" s="6">
        <v>482.14753000000002</v>
      </c>
      <c r="F53" s="97"/>
      <c r="G53" s="380"/>
      <c r="H53" s="4">
        <f t="shared" si="2"/>
        <v>43</v>
      </c>
      <c r="K53" s="1162"/>
      <c r="L53"/>
    </row>
    <row r="54" spans="1:12" x14ac:dyDescent="0.25">
      <c r="A54" s="4">
        <f t="shared" si="1"/>
        <v>44</v>
      </c>
      <c r="B54" s="379"/>
      <c r="C54" s="31" t="s">
        <v>566</v>
      </c>
      <c r="D54" s="6">
        <v>453.22032000000002</v>
      </c>
      <c r="F54" s="97"/>
      <c r="G54" s="380"/>
      <c r="H54" s="4">
        <f t="shared" si="2"/>
        <v>44</v>
      </c>
      <c r="K54" s="438"/>
      <c r="L54"/>
    </row>
    <row r="55" spans="1:12" x14ac:dyDescent="0.25">
      <c r="A55" s="4">
        <f t="shared" si="1"/>
        <v>45</v>
      </c>
      <c r="B55" s="379"/>
      <c r="C55" s="31" t="s">
        <v>567</v>
      </c>
      <c r="D55" s="6">
        <v>-8068.5219200000001</v>
      </c>
      <c r="E55" s="35">
        <f>SUM(D51:D55)</f>
        <v>-7133.1540700000005</v>
      </c>
      <c r="F55" s="100"/>
      <c r="G55" s="380"/>
      <c r="H55" s="4">
        <f t="shared" si="2"/>
        <v>45</v>
      </c>
      <c r="J55" s="680"/>
      <c r="K55"/>
      <c r="L55" s="5"/>
    </row>
    <row r="56" spans="1:12" x14ac:dyDescent="0.25">
      <c r="A56" s="4">
        <f t="shared" si="1"/>
        <v>46</v>
      </c>
      <c r="B56" s="379"/>
      <c r="D56" s="1269"/>
      <c r="E56" s="1269"/>
      <c r="F56" s="97"/>
      <c r="G56" s="380"/>
      <c r="H56" s="4">
        <f t="shared" si="2"/>
        <v>46</v>
      </c>
    </row>
    <row r="57" spans="1:12" ht="16.5" thickBot="1" x14ac:dyDescent="0.3">
      <c r="A57" s="4">
        <f t="shared" si="1"/>
        <v>47</v>
      </c>
      <c r="B57" s="382"/>
      <c r="C57" s="1" t="s">
        <v>568</v>
      </c>
      <c r="D57" s="97"/>
      <c r="E57" s="101">
        <f>SUM(E47:E56)</f>
        <v>-3060.7899500000003</v>
      </c>
      <c r="F57" s="97"/>
      <c r="G57" s="380"/>
      <c r="H57" s="4">
        <f t="shared" si="2"/>
        <v>47</v>
      </c>
    </row>
    <row r="58" spans="1:12" ht="16.5" thickTop="1" x14ac:dyDescent="0.25">
      <c r="A58" s="4">
        <f t="shared" si="1"/>
        <v>48</v>
      </c>
      <c r="B58" s="382"/>
      <c r="C58" s="1"/>
      <c r="D58" s="97"/>
      <c r="E58" s="43"/>
      <c r="F58" s="97"/>
      <c r="G58" s="380"/>
      <c r="H58" s="4">
        <f t="shared" si="2"/>
        <v>48</v>
      </c>
    </row>
    <row r="59" spans="1:12" x14ac:dyDescent="0.25">
      <c r="A59" s="4">
        <f t="shared" si="1"/>
        <v>49</v>
      </c>
      <c r="B59" s="382"/>
      <c r="C59" s="1"/>
      <c r="D59" s="97"/>
      <c r="E59" s="43"/>
      <c r="F59" s="97"/>
      <c r="G59" s="380"/>
      <c r="H59" s="4">
        <f t="shared" si="2"/>
        <v>49</v>
      </c>
    </row>
    <row r="60" spans="1:12" ht="16.5" thickBot="1" x14ac:dyDescent="0.3">
      <c r="A60" s="4">
        <f t="shared" si="1"/>
        <v>50</v>
      </c>
      <c r="B60" s="383"/>
      <c r="C60" s="862"/>
      <c r="D60" s="862"/>
      <c r="E60" s="892"/>
      <c r="F60" s="862"/>
      <c r="G60" s="195"/>
      <c r="H60" s="4">
        <f t="shared" si="2"/>
        <v>50</v>
      </c>
    </row>
    <row r="61" spans="1:12" x14ac:dyDescent="0.25">
      <c r="B61" s="384"/>
    </row>
    <row r="62" spans="1:12" x14ac:dyDescent="0.25">
      <c r="B62" s="384"/>
    </row>
    <row r="63" spans="1:12" x14ac:dyDescent="0.25">
      <c r="B63" s="384"/>
    </row>
    <row r="64" spans="1:12" x14ac:dyDescent="0.25">
      <c r="B64" s="384"/>
    </row>
    <row r="65" spans="2:5" x14ac:dyDescent="0.25">
      <c r="B65" s="384"/>
    </row>
    <row r="66" spans="2:5" x14ac:dyDescent="0.25">
      <c r="B66" s="384"/>
    </row>
    <row r="67" spans="2:5" x14ac:dyDescent="0.25">
      <c r="B67" s="384"/>
    </row>
    <row r="68" spans="2:5" x14ac:dyDescent="0.25">
      <c r="B68" s="384"/>
    </row>
    <row r="69" spans="2:5" x14ac:dyDescent="0.25">
      <c r="B69" s="384"/>
    </row>
    <row r="70" spans="2:5" x14ac:dyDescent="0.25">
      <c r="B70" s="384"/>
    </row>
    <row r="71" spans="2:5" x14ac:dyDescent="0.25">
      <c r="B71" s="384"/>
    </row>
    <row r="72" spans="2:5" x14ac:dyDescent="0.25">
      <c r="B72" s="384"/>
    </row>
    <row r="73" spans="2:5" x14ac:dyDescent="0.25">
      <c r="B73" s="384"/>
    </row>
    <row r="74" spans="2:5" x14ac:dyDescent="0.25">
      <c r="B74" s="384"/>
    </row>
    <row r="75" spans="2:5" x14ac:dyDescent="0.25">
      <c r="B75" s="384"/>
    </row>
    <row r="76" spans="2:5" x14ac:dyDescent="0.25">
      <c r="B76" s="384"/>
      <c r="E76" s="31"/>
    </row>
    <row r="77" spans="2:5" x14ac:dyDescent="0.25">
      <c r="B77" s="384"/>
      <c r="E77" s="31"/>
    </row>
    <row r="78" spans="2:5" x14ac:dyDescent="0.25">
      <c r="B78" s="384"/>
      <c r="E78" s="31"/>
    </row>
    <row r="79" spans="2:5" x14ac:dyDescent="0.25">
      <c r="B79" s="384"/>
      <c r="E79" s="31"/>
    </row>
    <row r="80" spans="2:5" x14ac:dyDescent="0.25">
      <c r="B80" s="384"/>
      <c r="E80" s="31"/>
    </row>
    <row r="81" spans="2:5" x14ac:dyDescent="0.25">
      <c r="B81" s="384"/>
      <c r="E81" s="31"/>
    </row>
    <row r="82" spans="2:5" x14ac:dyDescent="0.25">
      <c r="B82" s="384"/>
      <c r="E82" s="31"/>
    </row>
    <row r="83" spans="2:5" x14ac:dyDescent="0.25">
      <c r="B83" s="384"/>
      <c r="E83" s="31"/>
    </row>
    <row r="84" spans="2:5" x14ac:dyDescent="0.25">
      <c r="B84" s="384"/>
      <c r="E84" s="31"/>
    </row>
    <row r="85" spans="2:5" x14ac:dyDescent="0.25">
      <c r="B85" s="384"/>
      <c r="E85" s="31"/>
    </row>
    <row r="86" spans="2:5" x14ac:dyDescent="0.25">
      <c r="B86" s="384"/>
      <c r="E86" s="31"/>
    </row>
    <row r="87" spans="2:5" x14ac:dyDescent="0.25">
      <c r="B87" s="384"/>
      <c r="E87" s="31"/>
    </row>
    <row r="88" spans="2:5" x14ac:dyDescent="0.25">
      <c r="B88" s="384"/>
      <c r="E88" s="31"/>
    </row>
    <row r="89" spans="2:5" x14ac:dyDescent="0.25">
      <c r="B89" s="384"/>
      <c r="E89" s="31"/>
    </row>
    <row r="90" spans="2:5" x14ac:dyDescent="0.25">
      <c r="B90" s="384"/>
      <c r="E90" s="31"/>
    </row>
    <row r="91" spans="2:5" x14ac:dyDescent="0.25">
      <c r="B91" s="384"/>
      <c r="E91" s="31"/>
    </row>
    <row r="92" spans="2:5" x14ac:dyDescent="0.25">
      <c r="B92" s="384"/>
      <c r="E92" s="31"/>
    </row>
    <row r="93" spans="2:5" x14ac:dyDescent="0.25">
      <c r="B93" s="384"/>
      <c r="E93" s="31"/>
    </row>
    <row r="94" spans="2:5" x14ac:dyDescent="0.25">
      <c r="B94" s="384"/>
      <c r="E94" s="31"/>
    </row>
    <row r="95" spans="2:5" x14ac:dyDescent="0.25">
      <c r="B95" s="384"/>
      <c r="E95" s="31"/>
    </row>
    <row r="96" spans="2:5" x14ac:dyDescent="0.25">
      <c r="B96" s="384"/>
      <c r="E96" s="31"/>
    </row>
    <row r="97" spans="2:5" x14ac:dyDescent="0.25">
      <c r="B97" s="384"/>
      <c r="E97" s="31"/>
    </row>
    <row r="98" spans="2:5" x14ac:dyDescent="0.25">
      <c r="B98" s="384"/>
      <c r="E98" s="31"/>
    </row>
    <row r="99" spans="2:5" x14ac:dyDescent="0.25">
      <c r="B99" s="384"/>
      <c r="E99" s="31"/>
    </row>
    <row r="100" spans="2:5" x14ac:dyDescent="0.25">
      <c r="B100" s="384"/>
      <c r="E100" s="31"/>
    </row>
    <row r="101" spans="2:5" x14ac:dyDescent="0.25">
      <c r="B101" s="384"/>
      <c r="E101" s="31"/>
    </row>
    <row r="102" spans="2:5" x14ac:dyDescent="0.25">
      <c r="B102" s="384"/>
      <c r="E102" s="31"/>
    </row>
    <row r="103" spans="2:5" x14ac:dyDescent="0.25">
      <c r="B103" s="384"/>
      <c r="E103" s="31"/>
    </row>
    <row r="104" spans="2:5" x14ac:dyDescent="0.25">
      <c r="B104" s="384"/>
      <c r="E104" s="31"/>
    </row>
    <row r="105" spans="2:5" x14ac:dyDescent="0.25">
      <c r="B105" s="384"/>
      <c r="E105" s="31"/>
    </row>
    <row r="106" spans="2:5" x14ac:dyDescent="0.25">
      <c r="B106" s="384"/>
      <c r="E106" s="31"/>
    </row>
    <row r="107" spans="2:5" x14ac:dyDescent="0.25">
      <c r="B107" s="384"/>
      <c r="E107" s="31"/>
    </row>
    <row r="108" spans="2:5" x14ac:dyDescent="0.25">
      <c r="B108" s="384"/>
      <c r="E108" s="31"/>
    </row>
    <row r="109" spans="2:5" x14ac:dyDescent="0.25">
      <c r="B109" s="384"/>
      <c r="E109" s="31"/>
    </row>
    <row r="110" spans="2:5" x14ac:dyDescent="0.25">
      <c r="B110" s="384"/>
      <c r="E110" s="31"/>
    </row>
    <row r="111" spans="2:5" x14ac:dyDescent="0.25">
      <c r="B111" s="384"/>
      <c r="E111" s="31"/>
    </row>
    <row r="112" spans="2:5" x14ac:dyDescent="0.25">
      <c r="B112" s="384"/>
      <c r="E112" s="31"/>
    </row>
    <row r="113" spans="2:5" x14ac:dyDescent="0.25">
      <c r="B113" s="384"/>
      <c r="E113" s="31"/>
    </row>
    <row r="114" spans="2:5" x14ac:dyDescent="0.25">
      <c r="B114" s="384"/>
      <c r="E114" s="31"/>
    </row>
    <row r="115" spans="2:5" x14ac:dyDescent="0.25">
      <c r="B115" s="384"/>
      <c r="E115" s="31"/>
    </row>
    <row r="116" spans="2:5" x14ac:dyDescent="0.25">
      <c r="B116" s="384"/>
      <c r="E116" s="31"/>
    </row>
    <row r="117" spans="2:5" x14ac:dyDescent="0.25">
      <c r="B117" s="384"/>
      <c r="E117" s="31"/>
    </row>
    <row r="118" spans="2:5" x14ac:dyDescent="0.25">
      <c r="B118" s="384"/>
      <c r="E118" s="31"/>
    </row>
    <row r="119" spans="2:5" x14ac:dyDescent="0.25">
      <c r="B119" s="384"/>
      <c r="E119" s="31"/>
    </row>
    <row r="120" spans="2:5" x14ac:dyDescent="0.25">
      <c r="B120" s="384"/>
      <c r="E120" s="31"/>
    </row>
    <row r="121" spans="2:5" x14ac:dyDescent="0.25">
      <c r="B121" s="384"/>
      <c r="E121" s="31"/>
    </row>
    <row r="122" spans="2:5" x14ac:dyDescent="0.25">
      <c r="B122" s="384"/>
      <c r="E122" s="31"/>
    </row>
    <row r="123" spans="2:5" x14ac:dyDescent="0.25">
      <c r="B123" s="384"/>
      <c r="E123" s="31"/>
    </row>
    <row r="124" spans="2:5" x14ac:dyDescent="0.25">
      <c r="B124" s="384"/>
      <c r="E124" s="31"/>
    </row>
    <row r="125" spans="2:5" x14ac:dyDescent="0.25">
      <c r="B125" s="384"/>
      <c r="E125" s="31"/>
    </row>
    <row r="126" spans="2:5" x14ac:dyDescent="0.25">
      <c r="B126" s="384"/>
      <c r="E126" s="31"/>
    </row>
    <row r="127" spans="2:5" x14ac:dyDescent="0.25">
      <c r="B127" s="384"/>
      <c r="E127" s="31"/>
    </row>
    <row r="128" spans="2:5" x14ac:dyDescent="0.25">
      <c r="B128" s="384"/>
      <c r="E128" s="31"/>
    </row>
    <row r="129" spans="2:5" x14ac:dyDescent="0.25">
      <c r="B129" s="384"/>
      <c r="E129" s="31"/>
    </row>
    <row r="130" spans="2:5" x14ac:dyDescent="0.25">
      <c r="B130" s="384"/>
      <c r="E130" s="31"/>
    </row>
    <row r="131" spans="2:5" x14ac:dyDescent="0.25">
      <c r="B131" s="384"/>
      <c r="E131" s="31"/>
    </row>
    <row r="132" spans="2:5" x14ac:dyDescent="0.25">
      <c r="B132" s="384"/>
      <c r="E132" s="31"/>
    </row>
    <row r="133" spans="2:5" x14ac:dyDescent="0.25">
      <c r="B133" s="384"/>
      <c r="E133" s="31"/>
    </row>
    <row r="134" spans="2:5" x14ac:dyDescent="0.25">
      <c r="B134" s="384"/>
      <c r="E134" s="31"/>
    </row>
    <row r="135" spans="2:5" x14ac:dyDescent="0.25">
      <c r="B135" s="384"/>
      <c r="E135" s="31"/>
    </row>
    <row r="136" spans="2:5" x14ac:dyDescent="0.25">
      <c r="B136" s="384"/>
      <c r="E136" s="31"/>
    </row>
    <row r="137" spans="2:5" x14ac:dyDescent="0.25">
      <c r="B137" s="384"/>
      <c r="E137" s="31"/>
    </row>
    <row r="138" spans="2:5" x14ac:dyDescent="0.25">
      <c r="B138" s="384"/>
      <c r="E138" s="31"/>
    </row>
    <row r="139" spans="2:5" x14ac:dyDescent="0.25">
      <c r="B139" s="384"/>
      <c r="E139" s="31"/>
    </row>
    <row r="140" spans="2:5" x14ac:dyDescent="0.25">
      <c r="B140" s="384"/>
      <c r="E140" s="31"/>
    </row>
    <row r="141" spans="2:5" x14ac:dyDescent="0.25">
      <c r="B141" s="384"/>
      <c r="E141" s="31"/>
    </row>
    <row r="142" spans="2:5" x14ac:dyDescent="0.25">
      <c r="B142" s="384"/>
      <c r="E142" s="31"/>
    </row>
    <row r="143" spans="2:5" x14ac:dyDescent="0.25">
      <c r="B143" s="384"/>
      <c r="E143" s="31"/>
    </row>
    <row r="144" spans="2:5" x14ac:dyDescent="0.25">
      <c r="B144" s="384"/>
      <c r="E144" s="31"/>
    </row>
    <row r="145" spans="2:5" x14ac:dyDescent="0.25">
      <c r="B145" s="384"/>
      <c r="E145" s="31"/>
    </row>
    <row r="146" spans="2:5" x14ac:dyDescent="0.25">
      <c r="B146" s="384"/>
      <c r="E146" s="31"/>
    </row>
    <row r="147" spans="2:5" x14ac:dyDescent="0.25">
      <c r="B147" s="384"/>
      <c r="E147" s="31"/>
    </row>
    <row r="148" spans="2:5" x14ac:dyDescent="0.25">
      <c r="B148" s="384"/>
      <c r="E148" s="31"/>
    </row>
    <row r="149" spans="2:5" x14ac:dyDescent="0.25">
      <c r="B149" s="384"/>
      <c r="E149" s="31"/>
    </row>
    <row r="150" spans="2:5" x14ac:dyDescent="0.25">
      <c r="B150" s="384"/>
      <c r="E150" s="31"/>
    </row>
    <row r="151" spans="2:5" x14ac:dyDescent="0.25">
      <c r="B151" s="384"/>
      <c r="E151" s="31"/>
    </row>
    <row r="152" spans="2:5" x14ac:dyDescent="0.25">
      <c r="B152" s="384"/>
      <c r="E152" s="31"/>
    </row>
    <row r="153" spans="2:5" x14ac:dyDescent="0.25">
      <c r="B153" s="384"/>
      <c r="E153" s="31"/>
    </row>
    <row r="154" spans="2:5" x14ac:dyDescent="0.25">
      <c r="B154" s="384"/>
      <c r="E154" s="31"/>
    </row>
    <row r="155" spans="2:5" x14ac:dyDescent="0.25">
      <c r="B155" s="384"/>
      <c r="E155" s="31"/>
    </row>
    <row r="156" spans="2:5" x14ac:dyDescent="0.25">
      <c r="B156" s="384"/>
      <c r="E156" s="31"/>
    </row>
    <row r="157" spans="2:5" x14ac:dyDescent="0.25">
      <c r="B157" s="384"/>
      <c r="E157" s="31"/>
    </row>
    <row r="158" spans="2:5" x14ac:dyDescent="0.25">
      <c r="B158" s="384"/>
      <c r="E158" s="31"/>
    </row>
    <row r="159" spans="2:5" x14ac:dyDescent="0.25">
      <c r="B159" s="384"/>
      <c r="E159" s="31"/>
    </row>
    <row r="160" spans="2:5" x14ac:dyDescent="0.25">
      <c r="B160" s="384"/>
      <c r="E160" s="31"/>
    </row>
    <row r="161" spans="2:5" x14ac:dyDescent="0.25">
      <c r="B161" s="384"/>
      <c r="E161" s="31"/>
    </row>
    <row r="162" spans="2:5" x14ac:dyDescent="0.25">
      <c r="B162" s="384"/>
      <c r="E162" s="31"/>
    </row>
    <row r="163" spans="2:5" x14ac:dyDescent="0.25">
      <c r="B163" s="384"/>
      <c r="E163" s="31"/>
    </row>
    <row r="164" spans="2:5" x14ac:dyDescent="0.25">
      <c r="B164" s="384"/>
      <c r="E164" s="31"/>
    </row>
    <row r="165" spans="2:5" x14ac:dyDescent="0.25">
      <c r="B165" s="384"/>
      <c r="E165" s="31"/>
    </row>
    <row r="166" spans="2:5" x14ac:dyDescent="0.25">
      <c r="B166" s="384"/>
      <c r="E166" s="31"/>
    </row>
    <row r="167" spans="2:5" x14ac:dyDescent="0.25">
      <c r="B167" s="384"/>
      <c r="E167" s="31"/>
    </row>
    <row r="168" spans="2:5" x14ac:dyDescent="0.25">
      <c r="B168" s="384"/>
      <c r="E168" s="31"/>
    </row>
    <row r="169" spans="2:5" x14ac:dyDescent="0.25">
      <c r="B169" s="384"/>
      <c r="E169" s="31"/>
    </row>
    <row r="170" spans="2:5" x14ac:dyDescent="0.25">
      <c r="B170" s="384"/>
      <c r="E170" s="31"/>
    </row>
    <row r="171" spans="2:5" x14ac:dyDescent="0.25">
      <c r="B171" s="384"/>
      <c r="E171" s="31"/>
    </row>
    <row r="172" spans="2:5" x14ac:dyDescent="0.25">
      <c r="B172" s="384"/>
      <c r="E172" s="31"/>
    </row>
    <row r="173" spans="2:5" x14ac:dyDescent="0.25">
      <c r="B173" s="384"/>
      <c r="E173" s="31"/>
    </row>
    <row r="174" spans="2:5" x14ac:dyDescent="0.25">
      <c r="B174" s="384"/>
      <c r="E174" s="31"/>
    </row>
    <row r="175" spans="2:5" x14ac:dyDescent="0.25">
      <c r="B175" s="384"/>
      <c r="E175" s="31"/>
    </row>
    <row r="176" spans="2:5" x14ac:dyDescent="0.25">
      <c r="B176" s="384"/>
      <c r="E176" s="31"/>
    </row>
    <row r="177" spans="2:5" x14ac:dyDescent="0.25">
      <c r="B177" s="384"/>
      <c r="E177" s="31"/>
    </row>
    <row r="178" spans="2:5" x14ac:dyDescent="0.25">
      <c r="B178" s="384"/>
      <c r="E178" s="31"/>
    </row>
    <row r="179" spans="2:5" x14ac:dyDescent="0.25">
      <c r="B179" s="384"/>
      <c r="E179" s="31"/>
    </row>
    <row r="180" spans="2:5" x14ac:dyDescent="0.25">
      <c r="B180" s="384"/>
      <c r="E180" s="31"/>
    </row>
    <row r="181" spans="2:5" x14ac:dyDescent="0.25">
      <c r="B181" s="384"/>
      <c r="E181" s="31"/>
    </row>
    <row r="182" spans="2:5" x14ac:dyDescent="0.25">
      <c r="B182" s="384"/>
      <c r="E182" s="31"/>
    </row>
    <row r="183" spans="2:5" x14ac:dyDescent="0.25">
      <c r="B183" s="384"/>
      <c r="E183" s="31"/>
    </row>
    <row r="184" spans="2:5" x14ac:dyDescent="0.25">
      <c r="B184" s="384"/>
      <c r="E184" s="31"/>
    </row>
    <row r="185" spans="2:5" x14ac:dyDescent="0.25">
      <c r="B185" s="384"/>
      <c r="E185" s="31"/>
    </row>
    <row r="186" spans="2:5" x14ac:dyDescent="0.25">
      <c r="B186" s="384"/>
      <c r="E186" s="31"/>
    </row>
    <row r="187" spans="2:5" x14ac:dyDescent="0.25">
      <c r="B187" s="384"/>
      <c r="E187" s="31"/>
    </row>
    <row r="188" spans="2:5" x14ac:dyDescent="0.25">
      <c r="B188" s="384"/>
      <c r="E188" s="31"/>
    </row>
    <row r="189" spans="2:5" x14ac:dyDescent="0.25">
      <c r="B189" s="384"/>
      <c r="E189" s="31"/>
    </row>
    <row r="190" spans="2:5" x14ac:dyDescent="0.25">
      <c r="B190" s="384"/>
      <c r="E190" s="31"/>
    </row>
    <row r="191" spans="2:5" x14ac:dyDescent="0.25">
      <c r="B191" s="384"/>
      <c r="E191" s="31"/>
    </row>
    <row r="192" spans="2:5" x14ac:dyDescent="0.25">
      <c r="B192" s="384"/>
      <c r="E192" s="31"/>
    </row>
    <row r="193" spans="2:5" x14ac:dyDescent="0.25">
      <c r="B193" s="384"/>
      <c r="E193" s="31"/>
    </row>
    <row r="194" spans="2:5" x14ac:dyDescent="0.25">
      <c r="B194" s="384"/>
      <c r="E194" s="31"/>
    </row>
    <row r="195" spans="2:5" x14ac:dyDescent="0.25">
      <c r="B195" s="384"/>
      <c r="E195" s="31"/>
    </row>
    <row r="196" spans="2:5" x14ac:dyDescent="0.25">
      <c r="B196" s="384"/>
      <c r="E196" s="31"/>
    </row>
    <row r="197" spans="2:5" x14ac:dyDescent="0.25">
      <c r="B197" s="384"/>
      <c r="E197" s="31"/>
    </row>
    <row r="198" spans="2:5" x14ac:dyDescent="0.25">
      <c r="B198" s="384"/>
      <c r="E198" s="31"/>
    </row>
    <row r="199" spans="2:5" x14ac:dyDescent="0.25">
      <c r="B199" s="384"/>
      <c r="E199" s="31"/>
    </row>
    <row r="200" spans="2:5" x14ac:dyDescent="0.25">
      <c r="B200" s="384"/>
      <c r="E200" s="31"/>
    </row>
    <row r="201" spans="2:5" x14ac:dyDescent="0.25">
      <c r="B201" s="384"/>
      <c r="E201" s="31"/>
    </row>
    <row r="202" spans="2:5" x14ac:dyDescent="0.25">
      <c r="B202" s="384"/>
      <c r="E202" s="31"/>
    </row>
    <row r="203" spans="2:5" x14ac:dyDescent="0.25">
      <c r="B203" s="384"/>
      <c r="E203" s="31"/>
    </row>
    <row r="204" spans="2:5" x14ac:dyDescent="0.25">
      <c r="B204" s="384"/>
      <c r="E204" s="31"/>
    </row>
    <row r="205" spans="2:5" x14ac:dyDescent="0.25">
      <c r="B205" s="384"/>
      <c r="E205" s="31"/>
    </row>
    <row r="206" spans="2:5" x14ac:dyDescent="0.25">
      <c r="B206" s="384"/>
      <c r="E206" s="31"/>
    </row>
    <row r="207" spans="2:5" x14ac:dyDescent="0.25">
      <c r="B207" s="384"/>
      <c r="E207" s="31"/>
    </row>
    <row r="208" spans="2:5" x14ac:dyDescent="0.25">
      <c r="B208" s="384"/>
      <c r="E208" s="31"/>
    </row>
    <row r="209" spans="2:5" x14ac:dyDescent="0.25">
      <c r="B209" s="384"/>
      <c r="E209" s="31"/>
    </row>
    <row r="210" spans="2:5" x14ac:dyDescent="0.25">
      <c r="B210" s="384"/>
      <c r="E210" s="31"/>
    </row>
    <row r="211" spans="2:5" x14ac:dyDescent="0.25">
      <c r="B211" s="384"/>
      <c r="E211" s="31"/>
    </row>
    <row r="212" spans="2:5" x14ac:dyDescent="0.25">
      <c r="B212" s="384"/>
      <c r="E212" s="31"/>
    </row>
    <row r="213" spans="2:5" x14ac:dyDescent="0.25">
      <c r="B213" s="384"/>
      <c r="E213" s="31"/>
    </row>
    <row r="214" spans="2:5" x14ac:dyDescent="0.25">
      <c r="B214" s="384"/>
      <c r="E214" s="31"/>
    </row>
    <row r="215" spans="2:5" x14ac:dyDescent="0.25">
      <c r="B215" s="384"/>
      <c r="E215" s="31"/>
    </row>
    <row r="216" spans="2:5" x14ac:dyDescent="0.25">
      <c r="B216" s="384"/>
      <c r="E216" s="31"/>
    </row>
    <row r="217" spans="2:5" x14ac:dyDescent="0.25">
      <c r="B217" s="384"/>
      <c r="E217" s="31"/>
    </row>
    <row r="218" spans="2:5" x14ac:dyDescent="0.25">
      <c r="B218" s="384"/>
      <c r="E218" s="31"/>
    </row>
    <row r="219" spans="2:5" x14ac:dyDescent="0.25">
      <c r="B219" s="384"/>
      <c r="E219" s="31"/>
    </row>
    <row r="220" spans="2:5" x14ac:dyDescent="0.25">
      <c r="B220" s="384"/>
      <c r="E220" s="31"/>
    </row>
    <row r="221" spans="2:5" x14ac:dyDescent="0.25">
      <c r="B221" s="384"/>
      <c r="E221" s="31"/>
    </row>
    <row r="222" spans="2:5" x14ac:dyDescent="0.25">
      <c r="B222" s="384"/>
      <c r="E222" s="31"/>
    </row>
    <row r="223" spans="2:5" x14ac:dyDescent="0.25">
      <c r="B223" s="384"/>
      <c r="E223" s="31"/>
    </row>
    <row r="224" spans="2:5" x14ac:dyDescent="0.25">
      <c r="B224" s="384"/>
      <c r="E224" s="31"/>
    </row>
    <row r="225" spans="2:5" x14ac:dyDescent="0.25">
      <c r="B225" s="384"/>
      <c r="E225" s="31"/>
    </row>
    <row r="226" spans="2:5" x14ac:dyDescent="0.25">
      <c r="B226" s="384"/>
      <c r="E226" s="31"/>
    </row>
    <row r="227" spans="2:5" x14ac:dyDescent="0.25">
      <c r="B227" s="384"/>
      <c r="E227" s="31"/>
    </row>
    <row r="228" spans="2:5" x14ac:dyDescent="0.25">
      <c r="B228" s="384"/>
      <c r="E228" s="31"/>
    </row>
    <row r="229" spans="2:5" x14ac:dyDescent="0.25">
      <c r="B229" s="384"/>
      <c r="E229" s="31"/>
    </row>
    <row r="230" spans="2:5" x14ac:dyDescent="0.25">
      <c r="B230" s="384"/>
      <c r="E230" s="31"/>
    </row>
    <row r="231" spans="2:5" x14ac:dyDescent="0.25">
      <c r="B231" s="384"/>
      <c r="E231" s="31"/>
    </row>
    <row r="232" spans="2:5" x14ac:dyDescent="0.25">
      <c r="B232" s="384"/>
      <c r="E232" s="31"/>
    </row>
    <row r="233" spans="2:5" x14ac:dyDescent="0.25">
      <c r="B233" s="384"/>
      <c r="E233" s="31"/>
    </row>
    <row r="234" spans="2:5" x14ac:dyDescent="0.25">
      <c r="B234" s="384"/>
      <c r="E234" s="31"/>
    </row>
    <row r="235" spans="2:5" x14ac:dyDescent="0.25">
      <c r="B235" s="384"/>
      <c r="E235" s="31"/>
    </row>
    <row r="236" spans="2:5" x14ac:dyDescent="0.25">
      <c r="B236" s="384"/>
      <c r="E236" s="31"/>
    </row>
    <row r="237" spans="2:5" x14ac:dyDescent="0.25">
      <c r="B237" s="384"/>
      <c r="E237" s="31"/>
    </row>
    <row r="238" spans="2:5" x14ac:dyDescent="0.25">
      <c r="B238" s="384"/>
      <c r="E238" s="31"/>
    </row>
    <row r="239" spans="2:5" x14ac:dyDescent="0.25">
      <c r="B239" s="384"/>
      <c r="E239" s="31"/>
    </row>
    <row r="240" spans="2:5" x14ac:dyDescent="0.25">
      <c r="B240" s="384"/>
      <c r="E240" s="31"/>
    </row>
    <row r="241" spans="2:5" x14ac:dyDescent="0.25">
      <c r="B241" s="384"/>
      <c r="E241" s="31"/>
    </row>
    <row r="242" spans="2:5" x14ac:dyDescent="0.25">
      <c r="B242" s="384"/>
      <c r="E242" s="31"/>
    </row>
    <row r="243" spans="2:5" x14ac:dyDescent="0.25">
      <c r="B243" s="384"/>
      <c r="E243" s="31"/>
    </row>
    <row r="244" spans="2:5" x14ac:dyDescent="0.25">
      <c r="B244" s="384"/>
      <c r="E244" s="31"/>
    </row>
    <row r="245" spans="2:5" x14ac:dyDescent="0.25">
      <c r="B245" s="384"/>
      <c r="E245" s="31"/>
    </row>
    <row r="246" spans="2:5" x14ac:dyDescent="0.25">
      <c r="B246" s="384"/>
      <c r="E246" s="31"/>
    </row>
    <row r="247" spans="2:5" x14ac:dyDescent="0.25">
      <c r="B247" s="384"/>
      <c r="E247" s="31"/>
    </row>
    <row r="248" spans="2:5" x14ac:dyDescent="0.25">
      <c r="B248" s="384"/>
      <c r="E248" s="31"/>
    </row>
    <row r="249" spans="2:5" x14ac:dyDescent="0.25">
      <c r="B249" s="384"/>
      <c r="E249" s="31"/>
    </row>
    <row r="250" spans="2:5" x14ac:dyDescent="0.25">
      <c r="B250" s="384"/>
      <c r="E250" s="31"/>
    </row>
    <row r="251" spans="2:5" x14ac:dyDescent="0.25">
      <c r="B251" s="384"/>
      <c r="E251" s="31"/>
    </row>
    <row r="252" spans="2:5" x14ac:dyDescent="0.25">
      <c r="B252" s="384"/>
      <c r="E252" s="31"/>
    </row>
    <row r="253" spans="2:5" x14ac:dyDescent="0.25">
      <c r="B253" s="384"/>
      <c r="E253" s="31"/>
    </row>
    <row r="254" spans="2:5" x14ac:dyDescent="0.25">
      <c r="B254" s="384"/>
      <c r="E254" s="31"/>
    </row>
    <row r="255" spans="2:5" x14ac:dyDescent="0.25">
      <c r="B255" s="384"/>
      <c r="E255" s="31"/>
    </row>
    <row r="256" spans="2:5" x14ac:dyDescent="0.25">
      <c r="B256" s="384"/>
      <c r="E256" s="31"/>
    </row>
    <row r="257" spans="2:5" x14ac:dyDescent="0.25">
      <c r="B257" s="384"/>
      <c r="E257" s="31"/>
    </row>
    <row r="258" spans="2:5" x14ac:dyDescent="0.25">
      <c r="B258" s="384"/>
      <c r="E258" s="31"/>
    </row>
    <row r="259" spans="2:5" x14ac:dyDescent="0.25">
      <c r="B259" s="384"/>
      <c r="E259" s="31"/>
    </row>
    <row r="260" spans="2:5" x14ac:dyDescent="0.25">
      <c r="B260" s="384"/>
      <c r="E260" s="31"/>
    </row>
    <row r="261" spans="2:5" x14ac:dyDescent="0.25">
      <c r="B261" s="384"/>
      <c r="E261" s="31"/>
    </row>
    <row r="262" spans="2:5" x14ac:dyDescent="0.25">
      <c r="B262" s="384"/>
      <c r="E262" s="31"/>
    </row>
    <row r="263" spans="2:5" x14ac:dyDescent="0.25">
      <c r="B263" s="384"/>
      <c r="E263" s="31"/>
    </row>
    <row r="264" spans="2:5" x14ac:dyDescent="0.25">
      <c r="B264" s="384"/>
      <c r="E264" s="31"/>
    </row>
    <row r="265" spans="2:5" x14ac:dyDescent="0.25">
      <c r="B265" s="384"/>
      <c r="E265" s="31"/>
    </row>
    <row r="266" spans="2:5" x14ac:dyDescent="0.25">
      <c r="B266" s="384"/>
      <c r="E266" s="31"/>
    </row>
    <row r="267" spans="2:5" x14ac:dyDescent="0.25">
      <c r="B267" s="384"/>
      <c r="E267" s="31"/>
    </row>
    <row r="268" spans="2:5" x14ac:dyDescent="0.25">
      <c r="B268" s="384"/>
      <c r="E268" s="31"/>
    </row>
    <row r="269" spans="2:5" x14ac:dyDescent="0.25">
      <c r="B269" s="384"/>
      <c r="E269" s="31"/>
    </row>
    <row r="270" spans="2:5" x14ac:dyDescent="0.25">
      <c r="B270" s="384"/>
      <c r="E270" s="31"/>
    </row>
    <row r="271" spans="2:5" x14ac:dyDescent="0.25">
      <c r="B271" s="384"/>
      <c r="E271" s="31"/>
    </row>
    <row r="272" spans="2:5" x14ac:dyDescent="0.25">
      <c r="B272" s="384"/>
      <c r="E272" s="31"/>
    </row>
    <row r="273" spans="2:5" x14ac:dyDescent="0.25">
      <c r="B273" s="384"/>
      <c r="E273" s="31"/>
    </row>
    <row r="274" spans="2:5" x14ac:dyDescent="0.25">
      <c r="B274" s="384"/>
      <c r="E274" s="31"/>
    </row>
    <row r="275" spans="2:5" x14ac:dyDescent="0.25">
      <c r="B275" s="384"/>
      <c r="E275" s="31"/>
    </row>
    <row r="276" spans="2:5" x14ac:dyDescent="0.25">
      <c r="B276" s="384"/>
      <c r="E276" s="31"/>
    </row>
    <row r="277" spans="2:5" x14ac:dyDescent="0.25">
      <c r="B277" s="384"/>
      <c r="E277" s="31"/>
    </row>
    <row r="278" spans="2:5" x14ac:dyDescent="0.25">
      <c r="B278" s="384"/>
      <c r="E278" s="31"/>
    </row>
    <row r="279" spans="2:5" x14ac:dyDescent="0.25">
      <c r="B279" s="384"/>
      <c r="E279" s="31"/>
    </row>
    <row r="280" spans="2:5" x14ac:dyDescent="0.25">
      <c r="B280" s="384"/>
      <c r="E280" s="31"/>
    </row>
    <row r="281" spans="2:5" x14ac:dyDescent="0.25">
      <c r="B281" s="384"/>
      <c r="E281" s="31"/>
    </row>
    <row r="282" spans="2:5" x14ac:dyDescent="0.25">
      <c r="B282" s="384"/>
      <c r="E282" s="31"/>
    </row>
    <row r="283" spans="2:5" x14ac:dyDescent="0.25">
      <c r="B283" s="384"/>
      <c r="E283" s="31"/>
    </row>
    <row r="284" spans="2:5" x14ac:dyDescent="0.25">
      <c r="B284" s="384"/>
      <c r="E284" s="31"/>
    </row>
    <row r="285" spans="2:5" x14ac:dyDescent="0.25">
      <c r="B285" s="384"/>
      <c r="E285" s="31"/>
    </row>
    <row r="286" spans="2:5" x14ac:dyDescent="0.25">
      <c r="B286" s="384"/>
      <c r="E286" s="31"/>
    </row>
    <row r="287" spans="2:5" x14ac:dyDescent="0.25">
      <c r="B287" s="384"/>
      <c r="E287" s="31"/>
    </row>
    <row r="288" spans="2:5" x14ac:dyDescent="0.25">
      <c r="B288" s="384"/>
      <c r="E288" s="31"/>
    </row>
    <row r="289" spans="2:5" x14ac:dyDescent="0.25">
      <c r="B289" s="384"/>
      <c r="E289" s="31"/>
    </row>
    <row r="290" spans="2:5" x14ac:dyDescent="0.25">
      <c r="B290" s="384"/>
      <c r="E290" s="31"/>
    </row>
    <row r="291" spans="2:5" x14ac:dyDescent="0.25">
      <c r="B291" s="384"/>
      <c r="E291" s="31"/>
    </row>
    <row r="292" spans="2:5" x14ac:dyDescent="0.25">
      <c r="B292" s="384"/>
      <c r="E292" s="31"/>
    </row>
    <row r="293" spans="2:5" x14ac:dyDescent="0.25">
      <c r="B293" s="384"/>
      <c r="E293" s="31"/>
    </row>
    <row r="294" spans="2:5" x14ac:dyDescent="0.25">
      <c r="B294" s="384"/>
      <c r="E294" s="31"/>
    </row>
    <row r="295" spans="2:5" x14ac:dyDescent="0.25">
      <c r="B295" s="384"/>
      <c r="E295" s="31"/>
    </row>
    <row r="296" spans="2:5" x14ac:dyDescent="0.25">
      <c r="B296" s="384"/>
      <c r="E296" s="31"/>
    </row>
    <row r="297" spans="2:5" x14ac:dyDescent="0.25">
      <c r="B297" s="384"/>
      <c r="E297" s="31"/>
    </row>
    <row r="298" spans="2:5" x14ac:dyDescent="0.25">
      <c r="B298" s="384"/>
      <c r="E298" s="31"/>
    </row>
    <row r="299" spans="2:5" x14ac:dyDescent="0.25">
      <c r="B299" s="384"/>
      <c r="E299" s="31"/>
    </row>
    <row r="300" spans="2:5" x14ac:dyDescent="0.25">
      <c r="B300" s="384"/>
      <c r="E300" s="31"/>
    </row>
    <row r="301" spans="2:5" x14ac:dyDescent="0.25">
      <c r="B301" s="384"/>
      <c r="E301" s="31"/>
    </row>
    <row r="302" spans="2:5" x14ac:dyDescent="0.25">
      <c r="B302" s="384"/>
      <c r="E302" s="31"/>
    </row>
    <row r="303" spans="2:5" x14ac:dyDescent="0.25">
      <c r="B303" s="384"/>
      <c r="E303" s="31"/>
    </row>
    <row r="304" spans="2:5" x14ac:dyDescent="0.25">
      <c r="B304" s="384"/>
      <c r="E304" s="31"/>
    </row>
    <row r="305" spans="2:5" x14ac:dyDescent="0.25">
      <c r="B305" s="384"/>
      <c r="E305" s="31"/>
    </row>
    <row r="306" spans="2:5" x14ac:dyDescent="0.25">
      <c r="B306" s="384"/>
      <c r="E306" s="31"/>
    </row>
    <row r="307" spans="2:5" x14ac:dyDescent="0.25">
      <c r="B307" s="384"/>
      <c r="E307" s="31"/>
    </row>
    <row r="308" spans="2:5" x14ac:dyDescent="0.25">
      <c r="B308" s="384"/>
      <c r="E308" s="31"/>
    </row>
    <row r="309" spans="2:5" x14ac:dyDescent="0.25">
      <c r="B309" s="384"/>
      <c r="E309" s="31"/>
    </row>
    <row r="310" spans="2:5" x14ac:dyDescent="0.25">
      <c r="B310" s="384"/>
      <c r="E310" s="31"/>
    </row>
    <row r="311" spans="2:5" x14ac:dyDescent="0.25">
      <c r="B311" s="384"/>
      <c r="E311" s="31"/>
    </row>
    <row r="312" spans="2:5" x14ac:dyDescent="0.25">
      <c r="B312" s="384"/>
      <c r="E312" s="31"/>
    </row>
    <row r="313" spans="2:5" x14ac:dyDescent="0.25">
      <c r="B313" s="384"/>
      <c r="E313" s="31"/>
    </row>
    <row r="314" spans="2:5" x14ac:dyDescent="0.25">
      <c r="B314" s="384"/>
      <c r="E314" s="31"/>
    </row>
    <row r="315" spans="2:5" x14ac:dyDescent="0.25">
      <c r="B315" s="384"/>
      <c r="E315" s="31"/>
    </row>
    <row r="316" spans="2:5" x14ac:dyDescent="0.25">
      <c r="B316" s="384"/>
      <c r="E316" s="31"/>
    </row>
    <row r="317" spans="2:5" x14ac:dyDescent="0.25">
      <c r="B317" s="384"/>
      <c r="E317" s="31"/>
    </row>
    <row r="318" spans="2:5" x14ac:dyDescent="0.25">
      <c r="B318" s="384"/>
      <c r="E318" s="31"/>
    </row>
    <row r="319" spans="2:5" x14ac:dyDescent="0.25">
      <c r="B319" s="384"/>
      <c r="E319" s="31"/>
    </row>
    <row r="320" spans="2:5" x14ac:dyDescent="0.25">
      <c r="B320" s="384"/>
      <c r="E320" s="31"/>
    </row>
    <row r="321" spans="2:5" x14ac:dyDescent="0.25">
      <c r="B321" s="384"/>
      <c r="E321" s="31"/>
    </row>
    <row r="322" spans="2:5" x14ac:dyDescent="0.25">
      <c r="B322" s="384"/>
      <c r="E322" s="31"/>
    </row>
    <row r="323" spans="2:5" x14ac:dyDescent="0.25">
      <c r="B323" s="384"/>
      <c r="E323" s="31"/>
    </row>
    <row r="324" spans="2:5" x14ac:dyDescent="0.25">
      <c r="B324" s="384"/>
      <c r="E324" s="31"/>
    </row>
    <row r="325" spans="2:5" x14ac:dyDescent="0.25">
      <c r="B325" s="384"/>
      <c r="E325" s="31"/>
    </row>
    <row r="326" spans="2:5" x14ac:dyDescent="0.25">
      <c r="B326" s="384"/>
      <c r="E326" s="31"/>
    </row>
    <row r="327" spans="2:5" x14ac:dyDescent="0.25">
      <c r="B327" s="384"/>
      <c r="E327" s="31"/>
    </row>
    <row r="328" spans="2:5" x14ac:dyDescent="0.25">
      <c r="B328" s="384"/>
      <c r="E328" s="31"/>
    </row>
    <row r="329" spans="2:5" x14ac:dyDescent="0.25">
      <c r="B329" s="384"/>
      <c r="E329" s="31"/>
    </row>
    <row r="330" spans="2:5" x14ac:dyDescent="0.25">
      <c r="B330" s="384"/>
      <c r="E330" s="31"/>
    </row>
    <row r="331" spans="2:5" x14ac:dyDescent="0.25">
      <c r="B331" s="384"/>
      <c r="E331" s="31"/>
    </row>
    <row r="332" spans="2:5" x14ac:dyDescent="0.25">
      <c r="B332" s="384"/>
      <c r="E332" s="31"/>
    </row>
    <row r="333" spans="2:5" x14ac:dyDescent="0.25">
      <c r="B333" s="384"/>
      <c r="E333" s="31"/>
    </row>
    <row r="334" spans="2:5" x14ac:dyDescent="0.25">
      <c r="B334" s="384"/>
      <c r="E334" s="31"/>
    </row>
    <row r="335" spans="2:5" x14ac:dyDescent="0.25">
      <c r="B335" s="384"/>
      <c r="E335" s="31"/>
    </row>
    <row r="336" spans="2:5" x14ac:dyDescent="0.25">
      <c r="B336" s="384"/>
      <c r="E336" s="31"/>
    </row>
    <row r="337" spans="2:5" x14ac:dyDescent="0.25">
      <c r="B337" s="384"/>
      <c r="E337" s="31"/>
    </row>
    <row r="338" spans="2:5" x14ac:dyDescent="0.25">
      <c r="B338" s="384"/>
      <c r="E338" s="31"/>
    </row>
    <row r="339" spans="2:5" x14ac:dyDescent="0.25">
      <c r="B339" s="384"/>
      <c r="E339" s="31"/>
    </row>
    <row r="340" spans="2:5" x14ac:dyDescent="0.25">
      <c r="B340" s="384"/>
      <c r="E340" s="31"/>
    </row>
    <row r="341" spans="2:5" x14ac:dyDescent="0.25">
      <c r="B341" s="384"/>
      <c r="E341" s="31"/>
    </row>
    <row r="342" spans="2:5" x14ac:dyDescent="0.25">
      <c r="B342" s="384"/>
      <c r="E342" s="31"/>
    </row>
    <row r="343" spans="2:5" x14ac:dyDescent="0.25">
      <c r="B343" s="384"/>
      <c r="E343" s="31"/>
    </row>
    <row r="344" spans="2:5" x14ac:dyDescent="0.25">
      <c r="B344" s="384"/>
      <c r="E344" s="31"/>
    </row>
    <row r="345" spans="2:5" x14ac:dyDescent="0.25">
      <c r="B345" s="384"/>
      <c r="E345" s="31"/>
    </row>
    <row r="346" spans="2:5" x14ac:dyDescent="0.25">
      <c r="B346" s="384"/>
      <c r="E346" s="31"/>
    </row>
    <row r="347" spans="2:5" x14ac:dyDescent="0.25">
      <c r="B347" s="384"/>
      <c r="E347" s="31"/>
    </row>
    <row r="348" spans="2:5" x14ac:dyDescent="0.25">
      <c r="B348" s="384"/>
      <c r="E348" s="31"/>
    </row>
    <row r="349" spans="2:5" x14ac:dyDescent="0.25">
      <c r="B349" s="384"/>
      <c r="E349" s="31"/>
    </row>
    <row r="350" spans="2:5" x14ac:dyDescent="0.25">
      <c r="B350" s="384"/>
      <c r="E350" s="31"/>
    </row>
    <row r="351" spans="2:5" x14ac:dyDescent="0.25">
      <c r="B351" s="384"/>
      <c r="E351" s="31"/>
    </row>
    <row r="352" spans="2:5" x14ac:dyDescent="0.25">
      <c r="B352" s="384"/>
      <c r="E352" s="31"/>
    </row>
    <row r="353" spans="2:5" x14ac:dyDescent="0.25">
      <c r="B353" s="384"/>
      <c r="E353" s="31"/>
    </row>
    <row r="354" spans="2:5" x14ac:dyDescent="0.25">
      <c r="B354" s="384"/>
      <c r="E354" s="31"/>
    </row>
    <row r="355" spans="2:5" x14ac:dyDescent="0.25">
      <c r="B355" s="384"/>
      <c r="E355" s="31"/>
    </row>
    <row r="356" spans="2:5" x14ac:dyDescent="0.25">
      <c r="B356" s="384"/>
      <c r="E356" s="31"/>
    </row>
    <row r="357" spans="2:5" x14ac:dyDescent="0.25">
      <c r="B357" s="384"/>
      <c r="E357" s="31"/>
    </row>
    <row r="358" spans="2:5" x14ac:dyDescent="0.25">
      <c r="B358" s="384"/>
      <c r="E358" s="31"/>
    </row>
    <row r="359" spans="2:5" x14ac:dyDescent="0.25">
      <c r="B359" s="384"/>
      <c r="E359" s="31"/>
    </row>
    <row r="360" spans="2:5" x14ac:dyDescent="0.25">
      <c r="B360" s="384"/>
      <c r="E360" s="31"/>
    </row>
    <row r="361" spans="2:5" x14ac:dyDescent="0.25">
      <c r="B361" s="384"/>
      <c r="E361" s="31"/>
    </row>
    <row r="362" spans="2:5" x14ac:dyDescent="0.25">
      <c r="B362" s="384"/>
      <c r="E362" s="31"/>
    </row>
    <row r="363" spans="2:5" x14ac:dyDescent="0.25">
      <c r="B363" s="384"/>
      <c r="E363" s="31"/>
    </row>
    <row r="364" spans="2:5" x14ac:dyDescent="0.25">
      <c r="B364" s="384"/>
      <c r="E364" s="31"/>
    </row>
    <row r="365" spans="2:5" x14ac:dyDescent="0.25">
      <c r="B365" s="384"/>
      <c r="E365" s="31"/>
    </row>
    <row r="366" spans="2:5" x14ac:dyDescent="0.25">
      <c r="B366" s="384"/>
      <c r="E366" s="31"/>
    </row>
    <row r="367" spans="2:5" x14ac:dyDescent="0.25">
      <c r="B367" s="384"/>
      <c r="E367" s="31"/>
    </row>
    <row r="368" spans="2:5" x14ac:dyDescent="0.25">
      <c r="B368" s="384"/>
      <c r="E368" s="31"/>
    </row>
    <row r="369" spans="2:5" x14ac:dyDescent="0.25">
      <c r="B369" s="384"/>
      <c r="E369" s="31"/>
    </row>
    <row r="370" spans="2:5" x14ac:dyDescent="0.25">
      <c r="B370" s="384"/>
      <c r="E370" s="31"/>
    </row>
    <row r="371" spans="2:5" x14ac:dyDescent="0.25">
      <c r="B371" s="384"/>
      <c r="E371" s="31"/>
    </row>
    <row r="372" spans="2:5" x14ac:dyDescent="0.25">
      <c r="B372" s="384"/>
      <c r="E372" s="31"/>
    </row>
    <row r="373" spans="2:5" x14ac:dyDescent="0.25">
      <c r="B373" s="384"/>
      <c r="E373" s="31"/>
    </row>
    <row r="374" spans="2:5" x14ac:dyDescent="0.25">
      <c r="B374" s="384"/>
      <c r="E374" s="31"/>
    </row>
    <row r="375" spans="2:5" x14ac:dyDescent="0.25">
      <c r="B375" s="384"/>
      <c r="E375" s="31"/>
    </row>
    <row r="376" spans="2:5" x14ac:dyDescent="0.25">
      <c r="B376" s="384"/>
      <c r="E376" s="31"/>
    </row>
    <row r="377" spans="2:5" x14ac:dyDescent="0.25">
      <c r="B377" s="384"/>
      <c r="E377" s="31"/>
    </row>
    <row r="378" spans="2:5" x14ac:dyDescent="0.25">
      <c r="B378" s="384"/>
      <c r="E378" s="31"/>
    </row>
    <row r="379" spans="2:5" x14ac:dyDescent="0.25">
      <c r="B379" s="384"/>
      <c r="E379" s="31"/>
    </row>
    <row r="380" spans="2:5" x14ac:dyDescent="0.25">
      <c r="B380" s="384"/>
      <c r="E380" s="31"/>
    </row>
    <row r="381" spans="2:5" x14ac:dyDescent="0.25">
      <c r="B381" s="384"/>
      <c r="E381" s="31"/>
    </row>
    <row r="382" spans="2:5" x14ac:dyDescent="0.25">
      <c r="B382" s="384"/>
      <c r="E382" s="31"/>
    </row>
    <row r="383" spans="2:5" x14ac:dyDescent="0.25">
      <c r="B383" s="384"/>
      <c r="E383" s="31"/>
    </row>
    <row r="384" spans="2:5" x14ac:dyDescent="0.25">
      <c r="B384" s="384"/>
      <c r="E384" s="31"/>
    </row>
    <row r="385" spans="2:5" x14ac:dyDescent="0.25">
      <c r="B385" s="384"/>
      <c r="E385" s="31"/>
    </row>
    <row r="386" spans="2:5" x14ac:dyDescent="0.25">
      <c r="B386" s="384"/>
      <c r="E386" s="31"/>
    </row>
    <row r="387" spans="2:5" x14ac:dyDescent="0.25">
      <c r="B387" s="384"/>
      <c r="E387" s="31"/>
    </row>
    <row r="388" spans="2:5" x14ac:dyDescent="0.25">
      <c r="B388" s="384"/>
      <c r="E388" s="31"/>
    </row>
    <row r="389" spans="2:5" x14ac:dyDescent="0.25">
      <c r="B389" s="384"/>
      <c r="E389" s="31"/>
    </row>
    <row r="390" spans="2:5" x14ac:dyDescent="0.25">
      <c r="B390" s="384"/>
      <c r="E390" s="31"/>
    </row>
    <row r="391" spans="2:5" x14ac:dyDescent="0.25">
      <c r="B391" s="384"/>
      <c r="E391" s="31"/>
    </row>
    <row r="392" spans="2:5" x14ac:dyDescent="0.25">
      <c r="B392" s="384"/>
      <c r="E392" s="31"/>
    </row>
    <row r="393" spans="2:5" x14ac:dyDescent="0.25">
      <c r="B393" s="384"/>
      <c r="E393" s="31"/>
    </row>
    <row r="394" spans="2:5" x14ac:dyDescent="0.25">
      <c r="B394" s="384"/>
      <c r="E394" s="31"/>
    </row>
    <row r="395" spans="2:5" x14ac:dyDescent="0.25">
      <c r="B395" s="384"/>
      <c r="E395" s="31"/>
    </row>
    <row r="396" spans="2:5" x14ac:dyDescent="0.25">
      <c r="B396" s="384"/>
      <c r="E396" s="31"/>
    </row>
    <row r="397" spans="2:5" x14ac:dyDescent="0.25">
      <c r="B397" s="384"/>
      <c r="E397" s="31"/>
    </row>
    <row r="398" spans="2:5" x14ac:dyDescent="0.25">
      <c r="B398" s="384"/>
      <c r="E398" s="31"/>
    </row>
    <row r="399" spans="2:5" x14ac:dyDescent="0.25">
      <c r="B399" s="384"/>
      <c r="E399" s="31"/>
    </row>
    <row r="400" spans="2:5" x14ac:dyDescent="0.25">
      <c r="B400" s="384"/>
      <c r="E400" s="31"/>
    </row>
    <row r="401" spans="2:5" x14ac:dyDescent="0.25">
      <c r="B401" s="384"/>
      <c r="E401" s="31"/>
    </row>
    <row r="402" spans="2:5" x14ac:dyDescent="0.25">
      <c r="B402" s="384"/>
      <c r="E402" s="31"/>
    </row>
    <row r="403" spans="2:5" x14ac:dyDescent="0.25">
      <c r="B403" s="384"/>
      <c r="E403" s="31"/>
    </row>
    <row r="404" spans="2:5" x14ac:dyDescent="0.25">
      <c r="B404" s="384"/>
      <c r="E404" s="31"/>
    </row>
    <row r="405" spans="2:5" x14ac:dyDescent="0.25">
      <c r="B405" s="384"/>
      <c r="E405" s="31"/>
    </row>
    <row r="406" spans="2:5" x14ac:dyDescent="0.25">
      <c r="B406" s="384"/>
      <c r="E406" s="31"/>
    </row>
    <row r="407" spans="2:5" x14ac:dyDescent="0.25">
      <c r="B407" s="384"/>
      <c r="E407" s="31"/>
    </row>
    <row r="408" spans="2:5" x14ac:dyDescent="0.25">
      <c r="B408" s="384"/>
      <c r="E408" s="31"/>
    </row>
    <row r="409" spans="2:5" x14ac:dyDescent="0.25">
      <c r="B409" s="384"/>
      <c r="E409" s="31"/>
    </row>
    <row r="410" spans="2:5" x14ac:dyDescent="0.25">
      <c r="B410" s="384"/>
      <c r="E410" s="31"/>
    </row>
    <row r="411" spans="2:5" x14ac:dyDescent="0.25">
      <c r="B411" s="384"/>
      <c r="E411" s="31"/>
    </row>
    <row r="412" spans="2:5" x14ac:dyDescent="0.25">
      <c r="B412" s="384"/>
      <c r="E412" s="31"/>
    </row>
    <row r="413" spans="2:5" x14ac:dyDescent="0.25">
      <c r="B413" s="384"/>
      <c r="E413" s="31"/>
    </row>
    <row r="414" spans="2:5" x14ac:dyDescent="0.25">
      <c r="B414" s="384"/>
      <c r="E414" s="31"/>
    </row>
    <row r="415" spans="2:5" x14ac:dyDescent="0.25">
      <c r="B415" s="384"/>
      <c r="E415" s="31"/>
    </row>
  </sheetData>
  <mergeCells count="4">
    <mergeCell ref="B2:G2"/>
    <mergeCell ref="B3:G3"/>
    <mergeCell ref="B4:G4"/>
    <mergeCell ref="B5:G5"/>
  </mergeCells>
  <printOptions horizontalCentered="1"/>
  <pageMargins left="0.5" right="0.5" top="0.5" bottom="0.5" header="0.25" footer="0.25"/>
  <pageSetup scale="57" orientation="portrait" r:id="rId1"/>
  <headerFooter scaleWithDoc="0">
    <oddFooter>&amp;C&amp;"Times New Roman,Regular"&amp;10&amp;A</oddFooter>
  </headerFooter>
  <customProperties>
    <customPr name="_pios_id" r:id="rId2"/>
  </customPropertie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884C-B57F-4572-BACC-5F03980F7687}">
  <sheetPr>
    <pageSetUpPr fitToPage="1"/>
  </sheetPr>
  <dimension ref="A2:U75"/>
  <sheetViews>
    <sheetView topLeftCell="A7" zoomScale="80" zoomScaleNormal="80" workbookViewId="0">
      <selection activeCell="G45" sqref="G45"/>
    </sheetView>
  </sheetViews>
  <sheetFormatPr defaultColWidth="9.140625" defaultRowHeight="15.75" x14ac:dyDescent="0.25"/>
  <cols>
    <col min="1" max="1" width="5.140625" style="106" customWidth="1"/>
    <col min="2" max="2" width="8.5703125" style="105" customWidth="1"/>
    <col min="3" max="3" width="69.140625" style="105" customWidth="1"/>
    <col min="4" max="6" width="16.85546875" style="105" customWidth="1"/>
    <col min="7" max="7" width="34.5703125" style="105" customWidth="1"/>
    <col min="8" max="8" width="5.140625" style="106" customWidth="1"/>
    <col min="9" max="9" width="4" style="105" customWidth="1"/>
    <col min="10" max="10" width="13.140625" style="105" bestFit="1" customWidth="1"/>
    <col min="11" max="11" width="9.140625" style="105"/>
    <col min="12" max="12" width="9.85546875" style="105" customWidth="1"/>
    <col min="13" max="13" width="10" style="105" customWidth="1"/>
    <col min="14" max="16384" width="9.140625" style="105"/>
  </cols>
  <sheetData>
    <row r="2" spans="1:13" x14ac:dyDescent="0.25">
      <c r="B2" s="1325" t="s">
        <v>0</v>
      </c>
      <c r="C2" s="1325"/>
      <c r="D2" s="1325"/>
      <c r="E2" s="1325"/>
      <c r="F2" s="1325"/>
      <c r="G2" s="1325"/>
      <c r="H2" s="385"/>
      <c r="J2"/>
      <c r="K2"/>
      <c r="L2"/>
    </row>
    <row r="3" spans="1:13" x14ac:dyDescent="0.25">
      <c r="B3" s="1325" t="s">
        <v>569</v>
      </c>
      <c r="C3" s="1325"/>
      <c r="D3" s="1325"/>
      <c r="E3" s="1325"/>
      <c r="F3" s="1325"/>
      <c r="G3" s="1325"/>
      <c r="H3" s="385"/>
      <c r="J3"/>
      <c r="K3"/>
      <c r="L3"/>
    </row>
    <row r="4" spans="1:13" x14ac:dyDescent="0.25">
      <c r="B4" s="1325" t="s">
        <v>2055</v>
      </c>
      <c r="C4" s="1325"/>
      <c r="D4" s="1325"/>
      <c r="E4" s="1325"/>
      <c r="F4" s="1325"/>
      <c r="G4" s="1325"/>
      <c r="H4" s="385"/>
    </row>
    <row r="5" spans="1:13" x14ac:dyDescent="0.25">
      <c r="B5" s="1326" t="s">
        <v>4</v>
      </c>
      <c r="C5" s="1326"/>
      <c r="D5" s="1326"/>
      <c r="E5" s="1326"/>
      <c r="F5" s="1326"/>
      <c r="G5" s="1326"/>
      <c r="H5" s="385"/>
    </row>
    <row r="6" spans="1:13" ht="16.5" thickBot="1" x14ac:dyDescent="0.3">
      <c r="D6" s="876"/>
      <c r="E6" s="876"/>
      <c r="F6" s="876"/>
      <c r="G6" s="876"/>
      <c r="J6" s="31"/>
    </row>
    <row r="7" spans="1:13" x14ac:dyDescent="0.25">
      <c r="A7" s="385"/>
      <c r="B7" s="386"/>
      <c r="C7" s="387"/>
      <c r="D7" s="388" t="s">
        <v>187</v>
      </c>
      <c r="E7" s="389" t="s">
        <v>188</v>
      </c>
      <c r="F7" s="388" t="s">
        <v>495</v>
      </c>
      <c r="G7" s="390"/>
      <c r="H7" s="385"/>
    </row>
    <row r="8" spans="1:13" x14ac:dyDescent="0.25">
      <c r="A8" s="106" t="s">
        <v>5</v>
      </c>
      <c r="B8" s="391" t="s">
        <v>453</v>
      </c>
      <c r="C8" s="279"/>
      <c r="D8" s="667" t="s">
        <v>180</v>
      </c>
      <c r="E8" s="385" t="s">
        <v>496</v>
      </c>
      <c r="F8" s="667" t="s">
        <v>180</v>
      </c>
      <c r="G8" s="392"/>
      <c r="H8" s="106" t="s">
        <v>5</v>
      </c>
    </row>
    <row r="9" spans="1:13" ht="16.5" thickBot="1" x14ac:dyDescent="0.3">
      <c r="A9" s="106" t="s">
        <v>6</v>
      </c>
      <c r="B9" s="393" t="s">
        <v>497</v>
      </c>
      <c r="C9" s="874" t="s">
        <v>311</v>
      </c>
      <c r="D9" s="394" t="s">
        <v>498</v>
      </c>
      <c r="E9" s="874" t="s">
        <v>499</v>
      </c>
      <c r="F9" s="394" t="s">
        <v>500</v>
      </c>
      <c r="G9" s="668" t="s">
        <v>8</v>
      </c>
      <c r="H9" s="106" t="s">
        <v>6</v>
      </c>
      <c r="I9" s="106"/>
    </row>
    <row r="10" spans="1:13" x14ac:dyDescent="0.25">
      <c r="B10" s="395"/>
      <c r="C10" s="396" t="s">
        <v>570</v>
      </c>
      <c r="D10" s="669"/>
      <c r="E10" s="669"/>
      <c r="F10" s="670"/>
      <c r="G10" s="401"/>
    </row>
    <row r="11" spans="1:13" x14ac:dyDescent="0.25">
      <c r="A11" s="106">
        <v>1</v>
      </c>
      <c r="B11" s="395">
        <v>920</v>
      </c>
      <c r="C11" s="397" t="s">
        <v>571</v>
      </c>
      <c r="D11" s="231">
        <v>54244.899720000001</v>
      </c>
      <c r="E11" s="231">
        <f>E30</f>
        <v>201</v>
      </c>
      <c r="F11" s="231">
        <f>D11-E11</f>
        <v>54043.899720000001</v>
      </c>
      <c r="G11" s="368" t="s">
        <v>572</v>
      </c>
      <c r="H11" s="106">
        <f>A11</f>
        <v>1</v>
      </c>
      <c r="I11" s="105" t="s">
        <v>1</v>
      </c>
      <c r="J11" s="2"/>
    </row>
    <row r="12" spans="1:13" x14ac:dyDescent="0.25">
      <c r="A12" s="106">
        <f t="shared" ref="A12:A26" si="0">A11+1</f>
        <v>2</v>
      </c>
      <c r="B12" s="395">
        <v>921</v>
      </c>
      <c r="C12" s="397" t="s">
        <v>573</v>
      </c>
      <c r="D12" s="232">
        <v>31118.153999999999</v>
      </c>
      <c r="E12" s="6">
        <f>E31</f>
        <v>69.222690000000014</v>
      </c>
      <c r="F12" s="232">
        <f>D12-E12</f>
        <v>31048.93131</v>
      </c>
      <c r="G12" s="368" t="s">
        <v>574</v>
      </c>
      <c r="H12" s="106">
        <f t="shared" ref="H12:H26" si="1">H11+1</f>
        <v>2</v>
      </c>
      <c r="J12" s="2"/>
      <c r="K12" s="398"/>
    </row>
    <row r="13" spans="1:13" x14ac:dyDescent="0.25">
      <c r="A13" s="106">
        <f t="shared" si="0"/>
        <v>3</v>
      </c>
      <c r="B13" s="395">
        <v>922</v>
      </c>
      <c r="C13" s="397" t="s">
        <v>575</v>
      </c>
      <c r="D13" s="232">
        <v>-11800.006700000002</v>
      </c>
      <c r="E13" s="6"/>
      <c r="F13" s="232">
        <f>D13-E13</f>
        <v>-11800.006700000002</v>
      </c>
      <c r="G13" s="368" t="s">
        <v>576</v>
      </c>
      <c r="H13" s="106">
        <f t="shared" si="1"/>
        <v>3</v>
      </c>
      <c r="J13" s="2"/>
    </row>
    <row r="14" spans="1:13" x14ac:dyDescent="0.25">
      <c r="A14" s="106">
        <f t="shared" si="0"/>
        <v>4</v>
      </c>
      <c r="B14" s="395">
        <v>923</v>
      </c>
      <c r="C14" s="397" t="s">
        <v>577</v>
      </c>
      <c r="D14" s="232">
        <v>135103.70300000001</v>
      </c>
      <c r="E14" s="6">
        <f t="shared" ref="E14" si="2">E32</f>
        <v>77.872519999999994</v>
      </c>
      <c r="F14" s="232">
        <f>D14-E14</f>
        <v>135025.83048</v>
      </c>
      <c r="G14" s="368" t="s">
        <v>578</v>
      </c>
      <c r="H14" s="106">
        <f t="shared" si="1"/>
        <v>4</v>
      </c>
      <c r="J14"/>
      <c r="K14"/>
      <c r="L14"/>
      <c r="M14"/>
    </row>
    <row r="15" spans="1:13" x14ac:dyDescent="0.25">
      <c r="A15" s="106">
        <f t="shared" si="0"/>
        <v>5</v>
      </c>
      <c r="B15" s="395">
        <v>924</v>
      </c>
      <c r="C15" s="397" t="s">
        <v>579</v>
      </c>
      <c r="D15" s="232">
        <v>10560.587149999999</v>
      </c>
      <c r="E15" s="6"/>
      <c r="F15" s="232">
        <f t="shared" ref="F15:F16" si="3">D15-E15</f>
        <v>10560.587149999999</v>
      </c>
      <c r="G15" s="368" t="s">
        <v>580</v>
      </c>
      <c r="H15" s="106">
        <f t="shared" si="1"/>
        <v>5</v>
      </c>
      <c r="J15"/>
      <c r="K15"/>
      <c r="L15"/>
      <c r="M15"/>
    </row>
    <row r="16" spans="1:13" x14ac:dyDescent="0.25">
      <c r="A16" s="106">
        <f t="shared" si="0"/>
        <v>6</v>
      </c>
      <c r="B16" s="395">
        <v>925</v>
      </c>
      <c r="C16" s="397" t="s">
        <v>581</v>
      </c>
      <c r="D16" s="232">
        <v>164317.84099999999</v>
      </c>
      <c r="E16" s="6">
        <f>E34</f>
        <v>671.23726142399994</v>
      </c>
      <c r="F16" s="232">
        <f t="shared" si="3"/>
        <v>163646.603738576</v>
      </c>
      <c r="G16" s="368" t="s">
        <v>582</v>
      </c>
      <c r="H16" s="106">
        <f t="shared" si="1"/>
        <v>6</v>
      </c>
      <c r="J16" s="2"/>
    </row>
    <row r="17" spans="1:10" ht="18.75" x14ac:dyDescent="0.25">
      <c r="A17" s="106">
        <f>A16+1</f>
        <v>7</v>
      </c>
      <c r="B17" s="395">
        <v>926</v>
      </c>
      <c r="C17" s="397" t="s">
        <v>583</v>
      </c>
      <c r="D17" s="232">
        <v>67896.554000000004</v>
      </c>
      <c r="E17" s="6">
        <f>E35</f>
        <v>1217.058473237</v>
      </c>
      <c r="F17" s="232">
        <f>D17-E17</f>
        <v>66679.495526762999</v>
      </c>
      <c r="G17" s="368" t="s">
        <v>584</v>
      </c>
      <c r="H17" s="106">
        <f>A16+1</f>
        <v>7</v>
      </c>
      <c r="J17" s="2"/>
    </row>
    <row r="18" spans="1:10" x14ac:dyDescent="0.25">
      <c r="A18" s="106">
        <f>A17+1</f>
        <v>8</v>
      </c>
      <c r="B18" s="395">
        <v>927</v>
      </c>
      <c r="C18" s="397" t="s">
        <v>585</v>
      </c>
      <c r="D18" s="900">
        <v>118730.139</v>
      </c>
      <c r="E18" s="232">
        <f>E36</f>
        <v>115768.47434</v>
      </c>
      <c r="F18" s="232">
        <f t="shared" ref="F18:F20" si="4">D18-E18</f>
        <v>2961.6646599999949</v>
      </c>
      <c r="G18" s="368" t="s">
        <v>586</v>
      </c>
      <c r="H18" s="106">
        <f>A17+1</f>
        <v>8</v>
      </c>
      <c r="J18" s="2"/>
    </row>
    <row r="19" spans="1:10" ht="18.75" x14ac:dyDescent="0.25">
      <c r="A19" s="106">
        <f t="shared" si="0"/>
        <v>9</v>
      </c>
      <c r="B19" s="395">
        <v>928</v>
      </c>
      <c r="C19" s="397" t="s">
        <v>587</v>
      </c>
      <c r="D19" s="232">
        <v>27648.17352</v>
      </c>
      <c r="E19" s="6">
        <f>E42</f>
        <v>15062.920679999999</v>
      </c>
      <c r="F19" s="232">
        <f t="shared" si="4"/>
        <v>12585.252840000001</v>
      </c>
      <c r="G19" s="368" t="s">
        <v>588</v>
      </c>
      <c r="H19" s="106">
        <f t="shared" si="1"/>
        <v>9</v>
      </c>
      <c r="J19" s="2"/>
    </row>
    <row r="20" spans="1:10" x14ac:dyDescent="0.25">
      <c r="A20" s="106">
        <f t="shared" si="0"/>
        <v>10</v>
      </c>
      <c r="B20" s="395">
        <v>929</v>
      </c>
      <c r="C20" s="397" t="s">
        <v>589</v>
      </c>
      <c r="D20" s="232">
        <v>-6961.7256699999998</v>
      </c>
      <c r="E20" s="6">
        <f>E43</f>
        <v>0</v>
      </c>
      <c r="F20" s="232">
        <f t="shared" si="4"/>
        <v>-6961.7256699999998</v>
      </c>
      <c r="G20" s="368" t="s">
        <v>590</v>
      </c>
      <c r="H20" s="106">
        <f t="shared" si="1"/>
        <v>10</v>
      </c>
      <c r="J20" s="2"/>
    </row>
    <row r="21" spans="1:10" x14ac:dyDescent="0.25">
      <c r="A21" s="106">
        <f>A20+1</f>
        <v>11</v>
      </c>
      <c r="B21" s="399">
        <v>930.1</v>
      </c>
      <c r="C21" s="397" t="s">
        <v>591</v>
      </c>
      <c r="D21" s="232">
        <v>610.74800000000005</v>
      </c>
      <c r="E21" s="6">
        <f>E44</f>
        <v>610.74929000000009</v>
      </c>
      <c r="F21" s="232">
        <f>D21-E21</f>
        <v>-1.2900000000399814E-3</v>
      </c>
      <c r="G21" s="368" t="s">
        <v>592</v>
      </c>
      <c r="H21" s="106">
        <f>H20+1</f>
        <v>11</v>
      </c>
      <c r="J21" s="2"/>
    </row>
    <row r="22" spans="1:10" x14ac:dyDescent="0.25">
      <c r="A22" s="106">
        <f>A21+1</f>
        <v>12</v>
      </c>
      <c r="B22" s="399">
        <v>930.2</v>
      </c>
      <c r="C22" s="397" t="s">
        <v>593</v>
      </c>
      <c r="D22" s="232">
        <v>8280.4978900000024</v>
      </c>
      <c r="E22" s="6">
        <f>E47</f>
        <v>2331.2681499999999</v>
      </c>
      <c r="F22" s="232">
        <f t="shared" ref="F22" si="5">D22-E22</f>
        <v>5949.2297400000025</v>
      </c>
      <c r="G22" s="368" t="s">
        <v>594</v>
      </c>
      <c r="H22" s="106">
        <f>H21+1</f>
        <v>12</v>
      </c>
      <c r="J22" s="2"/>
    </row>
    <row r="23" spans="1:10" x14ac:dyDescent="0.25">
      <c r="A23" s="106">
        <f t="shared" si="0"/>
        <v>13</v>
      </c>
      <c r="B23" s="395">
        <v>931</v>
      </c>
      <c r="C23" s="397" t="s">
        <v>530</v>
      </c>
      <c r="D23" s="232">
        <v>13844.715860000004</v>
      </c>
      <c r="E23" s="6">
        <f>E48</f>
        <v>538.89701000000002</v>
      </c>
      <c r="F23" s="232">
        <f>D23-E23</f>
        <v>13305.818850000003</v>
      </c>
      <c r="G23" s="368" t="s">
        <v>595</v>
      </c>
      <c r="H23" s="106">
        <f t="shared" si="1"/>
        <v>13</v>
      </c>
      <c r="J23" s="2"/>
    </row>
    <row r="24" spans="1:10" x14ac:dyDescent="0.25">
      <c r="A24" s="106">
        <f t="shared" si="0"/>
        <v>14</v>
      </c>
      <c r="B24" s="395">
        <v>935</v>
      </c>
      <c r="C24" s="397" t="s">
        <v>596</v>
      </c>
      <c r="D24" s="93">
        <v>16460.331999999999</v>
      </c>
      <c r="E24" s="875">
        <f>E50</f>
        <v>32.122929999999997</v>
      </c>
      <c r="F24" s="93">
        <f>D24-E24</f>
        <v>16428.209069999997</v>
      </c>
      <c r="G24" s="570" t="s">
        <v>597</v>
      </c>
      <c r="H24" s="106">
        <f t="shared" si="1"/>
        <v>14</v>
      </c>
      <c r="I24" s="105" t="s">
        <v>1</v>
      </c>
      <c r="J24" s="2"/>
    </row>
    <row r="25" spans="1:10" x14ac:dyDescent="0.25">
      <c r="A25" s="106">
        <f>A24+1</f>
        <v>15</v>
      </c>
      <c r="B25" s="395"/>
      <c r="D25" s="671"/>
      <c r="F25" s="671"/>
      <c r="G25" s="400"/>
      <c r="H25" s="106">
        <f>H24+1</f>
        <v>15</v>
      </c>
    </row>
    <row r="26" spans="1:10" ht="16.5" thickBot="1" x14ac:dyDescent="0.3">
      <c r="A26" s="106">
        <f t="shared" si="0"/>
        <v>16</v>
      </c>
      <c r="B26" s="395"/>
      <c r="C26" s="279" t="s">
        <v>598</v>
      </c>
      <c r="D26" s="98">
        <f>SUM(D11:D24)</f>
        <v>630054.61277000001</v>
      </c>
      <c r="E26" s="102">
        <f>SUM(E11:E24)</f>
        <v>136580.82334466101</v>
      </c>
      <c r="F26" s="98">
        <f>SUM(F11:F24)</f>
        <v>493473.78942533891</v>
      </c>
      <c r="G26" s="401" t="str">
        <f>"Sum Lines "&amp;A11&amp;" thru "&amp;A24</f>
        <v>Sum Lines 1 thru 14</v>
      </c>
      <c r="H26" s="106">
        <f t="shared" si="1"/>
        <v>16</v>
      </c>
    </row>
    <row r="27" spans="1:10" ht="17.25" thickTop="1" thickBot="1" x14ac:dyDescent="0.3">
      <c r="A27" s="106">
        <f>A26+1</f>
        <v>17</v>
      </c>
      <c r="B27" s="402"/>
      <c r="C27" s="876"/>
      <c r="D27" s="103"/>
      <c r="E27" s="104"/>
      <c r="F27" s="104"/>
      <c r="G27" s="633"/>
      <c r="H27" s="106">
        <f>H26+1</f>
        <v>17</v>
      </c>
    </row>
    <row r="28" spans="1:10" x14ac:dyDescent="0.25">
      <c r="A28" s="106">
        <f>A27+1</f>
        <v>18</v>
      </c>
      <c r="B28" s="403"/>
      <c r="G28" s="400"/>
      <c r="H28" s="106">
        <f>H27+1</f>
        <v>18</v>
      </c>
    </row>
    <row r="29" spans="1:10" x14ac:dyDescent="0.25">
      <c r="A29" s="106">
        <f t="shared" ref="A29:A56" si="6">A28+1</f>
        <v>19</v>
      </c>
      <c r="B29" s="404" t="s">
        <v>599</v>
      </c>
      <c r="C29" s="106"/>
      <c r="D29" s="106"/>
      <c r="E29" s="106"/>
      <c r="F29" s="106"/>
      <c r="G29" s="400"/>
      <c r="H29" s="106">
        <f>H28+1</f>
        <v>19</v>
      </c>
    </row>
    <row r="30" spans="1:10" x14ac:dyDescent="0.25">
      <c r="A30" s="106">
        <f t="shared" si="6"/>
        <v>20</v>
      </c>
      <c r="B30" s="632">
        <v>920</v>
      </c>
      <c r="C30" s="397" t="s">
        <v>600</v>
      </c>
      <c r="D30" s="106"/>
      <c r="E30" s="1191">
        <v>201</v>
      </c>
      <c r="F30" s="106"/>
      <c r="G30" s="400"/>
      <c r="H30" s="106">
        <f t="shared" ref="H30:H56" si="7">H29+1</f>
        <v>20</v>
      </c>
    </row>
    <row r="31" spans="1:10" x14ac:dyDescent="0.25">
      <c r="A31" s="106">
        <f t="shared" si="6"/>
        <v>21</v>
      </c>
      <c r="B31" s="632">
        <v>921</v>
      </c>
      <c r="C31" s="397" t="s">
        <v>600</v>
      </c>
      <c r="D31" s="1154"/>
      <c r="E31" s="1191">
        <v>69.222690000000014</v>
      </c>
      <c r="F31" s="106"/>
      <c r="G31" s="400"/>
      <c r="H31" s="106">
        <f t="shared" si="7"/>
        <v>21</v>
      </c>
    </row>
    <row r="32" spans="1:10" x14ac:dyDescent="0.25">
      <c r="A32" s="106">
        <f t="shared" si="6"/>
        <v>22</v>
      </c>
      <c r="B32" s="632">
        <v>923</v>
      </c>
      <c r="C32" s="397" t="s">
        <v>600</v>
      </c>
      <c r="D32" s="1154"/>
      <c r="E32" s="1191">
        <v>77.872519999999994</v>
      </c>
      <c r="F32" s="106"/>
      <c r="G32" s="400"/>
      <c r="H32" s="106">
        <f t="shared" si="7"/>
        <v>22</v>
      </c>
    </row>
    <row r="33" spans="1:21" x14ac:dyDescent="0.25">
      <c r="A33" s="106">
        <f t="shared" si="6"/>
        <v>23</v>
      </c>
      <c r="B33" s="632">
        <v>925</v>
      </c>
      <c r="C33" s="397" t="s">
        <v>600</v>
      </c>
      <c r="D33" s="1191">
        <v>604.99526142399998</v>
      </c>
      <c r="E33" s="106"/>
      <c r="F33" s="106"/>
      <c r="G33" s="400"/>
      <c r="H33" s="106">
        <f t="shared" si="7"/>
        <v>23</v>
      </c>
      <c r="J33"/>
      <c r="K33"/>
      <c r="L33"/>
      <c r="M33"/>
    </row>
    <row r="34" spans="1:21" x14ac:dyDescent="0.25">
      <c r="A34" s="106">
        <f t="shared" si="6"/>
        <v>24</v>
      </c>
      <c r="B34" s="632"/>
      <c r="C34" s="397" t="s">
        <v>1741</v>
      </c>
      <c r="D34" s="1303">
        <v>66.242000000000004</v>
      </c>
      <c r="E34" s="1191">
        <f>SUM(D33:D34)</f>
        <v>671.23726142399994</v>
      </c>
      <c r="F34" s="106"/>
      <c r="G34" s="400"/>
      <c r="H34" s="106">
        <f t="shared" si="7"/>
        <v>24</v>
      </c>
      <c r="J34"/>
      <c r="K34"/>
      <c r="L34"/>
      <c r="M34"/>
    </row>
    <row r="35" spans="1:21" x14ac:dyDescent="0.25">
      <c r="A35" s="106">
        <f t="shared" si="6"/>
        <v>25</v>
      </c>
      <c r="B35" s="632">
        <v>926</v>
      </c>
      <c r="C35" s="1156" t="s">
        <v>600</v>
      </c>
      <c r="D35"/>
      <c r="E35" s="902">
        <v>1217.058473237</v>
      </c>
      <c r="F35" s="106"/>
      <c r="G35" s="400"/>
      <c r="H35" s="106">
        <f t="shared" si="7"/>
        <v>25</v>
      </c>
      <c r="J35"/>
      <c r="K35"/>
      <c r="L35"/>
      <c r="M35"/>
    </row>
    <row r="36" spans="1:21" x14ac:dyDescent="0.25">
      <c r="A36" s="106">
        <f t="shared" si="6"/>
        <v>26</v>
      </c>
      <c r="B36" s="630">
        <v>927</v>
      </c>
      <c r="C36" s="1156" t="s">
        <v>585</v>
      </c>
      <c r="D36" s="1154"/>
      <c r="E36" s="902">
        <v>115768.47434</v>
      </c>
      <c r="F36" s="106"/>
      <c r="G36" s="400"/>
      <c r="H36" s="106">
        <f t="shared" si="7"/>
        <v>26</v>
      </c>
    </row>
    <row r="37" spans="1:21" x14ac:dyDescent="0.25">
      <c r="A37" s="106">
        <f t="shared" si="6"/>
        <v>27</v>
      </c>
      <c r="B37" s="632">
        <v>928</v>
      </c>
      <c r="C37" s="397" t="s">
        <v>601</v>
      </c>
      <c r="D37" s="1191">
        <v>13845.17073</v>
      </c>
      <c r="E37" s="106"/>
      <c r="F37" s="106"/>
      <c r="G37" s="400"/>
      <c r="H37" s="106">
        <f t="shared" si="7"/>
        <v>27</v>
      </c>
      <c r="J37" s="901"/>
    </row>
    <row r="38" spans="1:21" x14ac:dyDescent="0.25">
      <c r="A38" s="106">
        <f t="shared" si="6"/>
        <v>28</v>
      </c>
      <c r="B38" s="632"/>
      <c r="C38" s="397" t="s">
        <v>602</v>
      </c>
      <c r="D38" s="1191">
        <v>-2.9605100000000002</v>
      </c>
      <c r="E38" s="106"/>
      <c r="F38" s="106"/>
      <c r="G38" s="400"/>
      <c r="H38" s="106">
        <f t="shared" si="7"/>
        <v>28</v>
      </c>
      <c r="J38" s="901"/>
    </row>
    <row r="39" spans="1:21" x14ac:dyDescent="0.25">
      <c r="A39" s="106">
        <f t="shared" si="6"/>
        <v>29</v>
      </c>
      <c r="B39" s="632"/>
      <c r="C39" s="397" t="s">
        <v>600</v>
      </c>
      <c r="D39" s="1191">
        <v>-71.05686</v>
      </c>
      <c r="E39" s="106"/>
      <c r="F39" s="106"/>
      <c r="G39" s="400"/>
      <c r="H39" s="106">
        <f t="shared" si="7"/>
        <v>29</v>
      </c>
    </row>
    <row r="40" spans="1:21" x14ac:dyDescent="0.25">
      <c r="A40" s="106">
        <f t="shared" si="6"/>
        <v>30</v>
      </c>
      <c r="B40" s="632"/>
      <c r="C40" s="397" t="s">
        <v>1837</v>
      </c>
      <c r="D40" s="1154">
        <v>748.62189000000001</v>
      </c>
      <c r="E40" s="106"/>
      <c r="F40" s="106"/>
      <c r="G40" s="400"/>
      <c r="H40" s="106">
        <f t="shared" si="7"/>
        <v>30</v>
      </c>
    </row>
    <row r="41" spans="1:21" x14ac:dyDescent="0.25">
      <c r="A41" s="106">
        <f t="shared" si="6"/>
        <v>31</v>
      </c>
      <c r="B41" s="632"/>
      <c r="C41" s="1157" t="s">
        <v>12</v>
      </c>
      <c r="D41" s="1193">
        <v>0</v>
      </c>
      <c r="E41" s="106"/>
      <c r="F41" s="106"/>
      <c r="G41" s="400"/>
      <c r="H41" s="106">
        <f t="shared" si="7"/>
        <v>31</v>
      </c>
      <c r="J41"/>
      <c r="K41"/>
      <c r="L41"/>
      <c r="M41"/>
      <c r="N41"/>
      <c r="O41"/>
      <c r="P41"/>
      <c r="Q41"/>
      <c r="R41"/>
      <c r="S41"/>
      <c r="T41"/>
      <c r="U41"/>
    </row>
    <row r="42" spans="1:21" x14ac:dyDescent="0.25">
      <c r="A42" s="106">
        <f t="shared" si="6"/>
        <v>32</v>
      </c>
      <c r="B42" s="632"/>
      <c r="C42" s="1157" t="s">
        <v>603</v>
      </c>
      <c r="D42" s="1303">
        <v>543.14542999999992</v>
      </c>
      <c r="E42" s="1191">
        <f>SUM(D37:D42)</f>
        <v>15062.920679999999</v>
      </c>
      <c r="F42" s="106"/>
      <c r="G42" s="400"/>
      <c r="H42" s="106">
        <f t="shared" si="7"/>
        <v>32</v>
      </c>
      <c r="J42"/>
      <c r="K42"/>
      <c r="L42"/>
      <c r="M42"/>
      <c r="N42"/>
      <c r="O42"/>
      <c r="P42"/>
      <c r="Q42"/>
      <c r="R42"/>
      <c r="S42"/>
      <c r="T42"/>
      <c r="U42"/>
    </row>
    <row r="43" spans="1:21" x14ac:dyDescent="0.25">
      <c r="A43" s="106">
        <f t="shared" si="6"/>
        <v>33</v>
      </c>
      <c r="B43" s="632">
        <v>929</v>
      </c>
      <c r="C43" s="1157" t="s">
        <v>1459</v>
      </c>
      <c r="D43" s="1154"/>
      <c r="E43" s="1304">
        <v>0</v>
      </c>
      <c r="F43" s="106"/>
      <c r="G43" s="400"/>
      <c r="H43" s="106">
        <f t="shared" si="7"/>
        <v>33</v>
      </c>
      <c r="J43"/>
      <c r="K43"/>
      <c r="L43"/>
      <c r="M43"/>
      <c r="N43"/>
      <c r="O43"/>
      <c r="P43"/>
      <c r="Q43"/>
      <c r="R43"/>
      <c r="S43"/>
      <c r="T43"/>
      <c r="U43"/>
    </row>
    <row r="44" spans="1:21" x14ac:dyDescent="0.25">
      <c r="A44" s="106">
        <f t="shared" si="6"/>
        <v>34</v>
      </c>
      <c r="B44" s="631">
        <v>930.1</v>
      </c>
      <c r="C44" s="1157" t="s">
        <v>591</v>
      </c>
      <c r="D44" s="1154"/>
      <c r="E44" s="902">
        <v>610.74929000000009</v>
      </c>
      <c r="F44" s="106"/>
      <c r="G44" s="400"/>
      <c r="H44" s="106">
        <f t="shared" si="7"/>
        <v>34</v>
      </c>
      <c r="J44"/>
      <c r="K44"/>
    </row>
    <row r="45" spans="1:21" x14ac:dyDescent="0.25">
      <c r="A45" s="106">
        <f t="shared" si="6"/>
        <v>35</v>
      </c>
      <c r="B45" s="877">
        <v>930.2</v>
      </c>
      <c r="C45" s="1156" t="s">
        <v>604</v>
      </c>
      <c r="D45" s="902">
        <v>68.272149999999996</v>
      </c>
      <c r="F45" s="106"/>
      <c r="G45" s="400"/>
      <c r="H45" s="106">
        <f t="shared" si="7"/>
        <v>35</v>
      </c>
      <c r="J45"/>
      <c r="K45"/>
    </row>
    <row r="46" spans="1:21" x14ac:dyDescent="0.25">
      <c r="A46" s="106">
        <f t="shared" si="6"/>
        <v>36</v>
      </c>
      <c r="B46" s="877"/>
      <c r="C46" s="1156" t="s">
        <v>600</v>
      </c>
      <c r="D46" s="902">
        <v>203.24</v>
      </c>
      <c r="F46" s="106"/>
      <c r="G46" s="400"/>
      <c r="H46" s="106">
        <f t="shared" si="7"/>
        <v>36</v>
      </c>
      <c r="J46"/>
      <c r="K46"/>
    </row>
    <row r="47" spans="1:21" x14ac:dyDescent="0.25">
      <c r="A47" s="106">
        <f t="shared" si="6"/>
        <v>37</v>
      </c>
      <c r="B47" s="877"/>
      <c r="C47" s="1283" t="s">
        <v>1940</v>
      </c>
      <c r="D47" s="903">
        <v>2059.7559999999999</v>
      </c>
      <c r="E47" s="902">
        <f>SUM(D45:D47)</f>
        <v>2331.2681499999999</v>
      </c>
      <c r="F47" s="106"/>
      <c r="G47" s="400"/>
      <c r="H47" s="106">
        <f t="shared" si="7"/>
        <v>37</v>
      </c>
      <c r="J47"/>
      <c r="K47"/>
    </row>
    <row r="48" spans="1:21" x14ac:dyDescent="0.25">
      <c r="A48" s="106">
        <f t="shared" si="6"/>
        <v>38</v>
      </c>
      <c r="B48" s="632">
        <v>931</v>
      </c>
      <c r="C48" s="1156" t="s">
        <v>600</v>
      </c>
      <c r="D48" s="902"/>
      <c r="E48" s="902">
        <v>538.89701000000002</v>
      </c>
      <c r="F48" s="106"/>
      <c r="G48" s="400"/>
      <c r="H48" s="106">
        <f t="shared" si="7"/>
        <v>38</v>
      </c>
      <c r="J48"/>
      <c r="K48"/>
    </row>
    <row r="49" spans="1:16" x14ac:dyDescent="0.25">
      <c r="A49" s="106">
        <f t="shared" si="6"/>
        <v>39</v>
      </c>
      <c r="B49" s="632">
        <v>935</v>
      </c>
      <c r="C49" s="397" t="s">
        <v>605</v>
      </c>
      <c r="D49" s="906">
        <v>0</v>
      </c>
      <c r="F49" s="106"/>
      <c r="G49" s="400"/>
      <c r="H49" s="106">
        <f t="shared" si="7"/>
        <v>39</v>
      </c>
    </row>
    <row r="50" spans="1:16" x14ac:dyDescent="0.25">
      <c r="A50" s="106">
        <f t="shared" si="6"/>
        <v>40</v>
      </c>
      <c r="B50" s="632"/>
      <c r="C50" s="397" t="s">
        <v>1837</v>
      </c>
      <c r="D50" s="1089">
        <v>32.122929999999997</v>
      </c>
      <c r="E50" s="903">
        <f>+D49+D50</f>
        <v>32.122929999999997</v>
      </c>
      <c r="F50" s="106"/>
      <c r="G50" s="400"/>
      <c r="H50" s="106">
        <f t="shared" si="7"/>
        <v>40</v>
      </c>
    </row>
    <row r="51" spans="1:16" x14ac:dyDescent="0.25">
      <c r="A51" s="106">
        <f t="shared" si="6"/>
        <v>41</v>
      </c>
      <c r="B51" s="632"/>
      <c r="C51" s="1158"/>
      <c r="D51" s="1159"/>
      <c r="E51" s="6"/>
      <c r="G51" s="400"/>
      <c r="H51" s="106">
        <f t="shared" si="7"/>
        <v>41</v>
      </c>
    </row>
    <row r="52" spans="1:16" ht="16.5" thickBot="1" x14ac:dyDescent="0.3">
      <c r="A52" s="106">
        <f t="shared" si="6"/>
        <v>42</v>
      </c>
      <c r="B52" s="403"/>
      <c r="C52" s="1160" t="s">
        <v>568</v>
      </c>
      <c r="D52" s="1161"/>
      <c r="E52" s="101">
        <f>SUM(E30:E50)</f>
        <v>136580.82334466101</v>
      </c>
      <c r="F52" s="107"/>
      <c r="G52" s="400"/>
      <c r="H52" s="106">
        <f t="shared" si="7"/>
        <v>42</v>
      </c>
    </row>
    <row r="53" spans="1:16" ht="16.5" thickTop="1" x14ac:dyDescent="0.25">
      <c r="A53" s="106">
        <f t="shared" si="6"/>
        <v>43</v>
      </c>
      <c r="B53" s="403"/>
      <c r="C53" s="1160"/>
      <c r="E53" s="43"/>
      <c r="F53" s="1"/>
      <c r="G53" s="400"/>
      <c r="H53" s="106">
        <f t="shared" si="7"/>
        <v>43</v>
      </c>
    </row>
    <row r="54" spans="1:16" x14ac:dyDescent="0.25">
      <c r="A54" s="106">
        <f t="shared" si="6"/>
        <v>44</v>
      </c>
      <c r="B54" s="403"/>
      <c r="C54" s="1160"/>
      <c r="E54" s="43"/>
      <c r="F54" s="1"/>
      <c r="G54" s="400"/>
      <c r="H54" s="106">
        <f t="shared" si="7"/>
        <v>44</v>
      </c>
    </row>
    <row r="55" spans="1:16" ht="18.75" x14ac:dyDescent="0.25">
      <c r="A55" s="106">
        <f t="shared" si="6"/>
        <v>45</v>
      </c>
      <c r="B55" s="405">
        <v>1</v>
      </c>
      <c r="C55" s="31" t="s">
        <v>2060</v>
      </c>
      <c r="E55" s="254"/>
      <c r="F55" s="1"/>
      <c r="G55" s="400"/>
      <c r="H55" s="106">
        <f t="shared" si="7"/>
        <v>45</v>
      </c>
      <c r="J55"/>
      <c r="K55"/>
      <c r="L55"/>
      <c r="M55"/>
      <c r="N55"/>
      <c r="O55"/>
      <c r="P55"/>
    </row>
    <row r="56" spans="1:16" ht="16.5" thickBot="1" x14ac:dyDescent="0.3">
      <c r="A56" s="106">
        <f t="shared" si="6"/>
        <v>46</v>
      </c>
      <c r="B56" s="406"/>
      <c r="C56" s="878"/>
      <c r="D56" s="876"/>
      <c r="E56" s="876"/>
      <c r="F56" s="876"/>
      <c r="G56" s="633"/>
      <c r="H56" s="106">
        <f t="shared" si="7"/>
        <v>46</v>
      </c>
    </row>
    <row r="57" spans="1:16" x14ac:dyDescent="0.25">
      <c r="A57" s="385"/>
      <c r="C57" s="397"/>
      <c r="D57" s="407"/>
      <c r="E57" s="407"/>
    </row>
    <row r="58" spans="1:16" ht="18.75" x14ac:dyDescent="0.25">
      <c r="A58" s="408"/>
      <c r="C58" s="397"/>
    </row>
    <row r="59" spans="1:16" ht="18.75" x14ac:dyDescent="0.25">
      <c r="A59" s="408"/>
      <c r="C59" s="397"/>
    </row>
    <row r="60" spans="1:16" ht="18.75" x14ac:dyDescent="0.25">
      <c r="A60" s="408"/>
      <c r="C60" s="397"/>
    </row>
    <row r="61" spans="1:16" ht="18.75" x14ac:dyDescent="0.25">
      <c r="A61" s="408"/>
      <c r="C61" s="397"/>
    </row>
    <row r="62" spans="1:16" ht="18.75" x14ac:dyDescent="0.25">
      <c r="A62" s="408"/>
      <c r="C62" s="397"/>
    </row>
    <row r="63" spans="1:16" ht="18.75" x14ac:dyDescent="0.25">
      <c r="A63" s="408"/>
      <c r="C63" s="397"/>
    </row>
    <row r="64" spans="1:16" x14ac:dyDescent="0.25">
      <c r="A64" s="385"/>
      <c r="C64" s="397"/>
    </row>
    <row r="65" spans="1:3" ht="18.75" x14ac:dyDescent="0.25">
      <c r="A65" s="408"/>
      <c r="C65" s="397"/>
    </row>
    <row r="66" spans="1:3" x14ac:dyDescent="0.25">
      <c r="A66" s="385"/>
      <c r="C66" s="397"/>
    </row>
    <row r="67" spans="1:3" ht="18.75" x14ac:dyDescent="0.25">
      <c r="A67" s="408"/>
      <c r="C67" s="397"/>
    </row>
    <row r="68" spans="1:3" x14ac:dyDescent="0.25">
      <c r="A68" s="385"/>
      <c r="C68" s="397"/>
    </row>
    <row r="69" spans="1:3" ht="18.75" x14ac:dyDescent="0.25">
      <c r="A69" s="408"/>
      <c r="C69" s="397"/>
    </row>
    <row r="70" spans="1:3" ht="18.75" x14ac:dyDescent="0.25">
      <c r="A70" s="408"/>
      <c r="B70" s="397"/>
    </row>
    <row r="71" spans="1:3" ht="18.75" x14ac:dyDescent="0.25">
      <c r="A71" s="408"/>
      <c r="B71" s="397"/>
    </row>
    <row r="72" spans="1:3" x14ac:dyDescent="0.25">
      <c r="B72" s="397"/>
    </row>
    <row r="73" spans="1:3" ht="18.75" x14ac:dyDescent="0.25">
      <c r="A73" s="408"/>
      <c r="B73" s="397"/>
    </row>
    <row r="74" spans="1:3" x14ac:dyDescent="0.25">
      <c r="A74" s="409"/>
      <c r="B74" s="279"/>
    </row>
    <row r="75" spans="1:3" x14ac:dyDescent="0.25">
      <c r="B75" s="397"/>
    </row>
  </sheetData>
  <mergeCells count="4">
    <mergeCell ref="B2:G2"/>
    <mergeCell ref="B3:G3"/>
    <mergeCell ref="B4:G4"/>
    <mergeCell ref="B5:G5"/>
  </mergeCells>
  <printOptions horizontalCentered="1"/>
  <pageMargins left="0.25" right="0.25" top="0.5" bottom="0.5" header="0.25" footer="0.25"/>
  <pageSetup scale="59" orientation="portrait" r:id="rId1"/>
  <headerFooter scaleWithDoc="0" alignWithMargins="0">
    <oddFooter>&amp;C&amp;A</oddFooter>
  </headerFooter>
  <colBreaks count="1" manualBreakCount="1">
    <brk id="8" max="52" man="1"/>
  </colBreaks>
  <customProperties>
    <customPr name="_pios_id" r:id="rId2"/>
  </customPropertie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99D97-323B-4E31-9909-23608930E43E}">
  <sheetPr>
    <pageSetUpPr fitToPage="1"/>
  </sheetPr>
  <dimension ref="A1:L29"/>
  <sheetViews>
    <sheetView zoomScale="80" zoomScaleNormal="80" workbookViewId="0">
      <selection activeCell="E25" sqref="E25"/>
    </sheetView>
  </sheetViews>
  <sheetFormatPr defaultColWidth="8.7109375" defaultRowHeight="15.75" x14ac:dyDescent="0.25"/>
  <cols>
    <col min="1" max="1" width="5.28515625" style="4" customWidth="1"/>
    <col min="2" max="2" width="64.7109375" style="5" customWidth="1"/>
    <col min="3" max="3" width="21.28515625" style="31" customWidth="1"/>
    <col min="4" max="4" width="1.5703125" style="5" customWidth="1"/>
    <col min="5" max="5" width="16.7109375" style="5" customWidth="1"/>
    <col min="6" max="6" width="1.5703125" style="5" customWidth="1"/>
    <col min="7" max="7" width="34.5703125" style="5" customWidth="1"/>
    <col min="8" max="8" width="5.28515625" style="5" customWidth="1"/>
    <col min="9" max="9" width="8.7109375" style="5"/>
    <col min="10" max="10" width="20.42578125" style="881" bestFit="1" customWidth="1"/>
    <col min="11" max="16384" width="8.7109375" style="5"/>
  </cols>
  <sheetData>
    <row r="1" spans="1:12" x14ac:dyDescent="0.25">
      <c r="A1" s="414"/>
      <c r="B1" s="31"/>
      <c r="D1" s="31"/>
      <c r="E1" s="410"/>
      <c r="F1" s="411"/>
      <c r="G1" s="4"/>
      <c r="H1" s="4"/>
    </row>
    <row r="2" spans="1:12" x14ac:dyDescent="0.25">
      <c r="B2" s="1316" t="s">
        <v>0</v>
      </c>
      <c r="C2" s="1316"/>
      <c r="D2" s="1316"/>
      <c r="E2" s="1316"/>
      <c r="F2" s="1316"/>
      <c r="G2" s="1316"/>
      <c r="H2" s="4"/>
      <c r="J2"/>
      <c r="K2"/>
      <c r="L2"/>
    </row>
    <row r="3" spans="1:12" x14ac:dyDescent="0.25">
      <c r="B3" s="1316" t="s">
        <v>606</v>
      </c>
      <c r="C3" s="1316"/>
      <c r="D3" s="1316"/>
      <c r="E3" s="1316"/>
      <c r="F3" s="1316"/>
      <c r="G3" s="1316"/>
      <c r="H3" s="4"/>
      <c r="J3" s="899"/>
    </row>
    <row r="4" spans="1:12" x14ac:dyDescent="0.25">
      <c r="B4" s="1316" t="s">
        <v>607</v>
      </c>
      <c r="C4" s="1316"/>
      <c r="D4" s="1316"/>
      <c r="E4" s="1316"/>
      <c r="F4" s="1316"/>
      <c r="G4" s="1316"/>
      <c r="H4" s="4"/>
    </row>
    <row r="5" spans="1:12" x14ac:dyDescent="0.25">
      <c r="B5" s="1318" t="str">
        <f>'Stmt AD'!B5</f>
        <v>Base Period &amp; True-Up Period 12 - Months Ending December 31, 2025</v>
      </c>
      <c r="C5" s="1318"/>
      <c r="D5" s="1318"/>
      <c r="E5" s="1318"/>
      <c r="F5" s="1318"/>
      <c r="G5" s="1318"/>
      <c r="H5" s="4"/>
    </row>
    <row r="6" spans="1:12" x14ac:dyDescent="0.25">
      <c r="B6" s="1312" t="s">
        <v>4</v>
      </c>
      <c r="C6" s="1313"/>
      <c r="D6" s="1313"/>
      <c r="E6" s="1313"/>
      <c r="F6" s="1313"/>
      <c r="G6" s="1313"/>
      <c r="H6" s="4"/>
      <c r="J6"/>
      <c r="K6"/>
      <c r="L6"/>
    </row>
    <row r="7" spans="1:12" x14ac:dyDescent="0.25">
      <c r="B7" s="4"/>
      <c r="C7" s="4"/>
      <c r="D7" s="4"/>
      <c r="E7" s="4"/>
      <c r="F7" s="217"/>
      <c r="G7" s="4"/>
      <c r="H7" s="4"/>
    </row>
    <row r="8" spans="1:12" x14ac:dyDescent="0.25">
      <c r="A8" s="4" t="s">
        <v>5</v>
      </c>
      <c r="B8" s="217"/>
      <c r="C8" s="4" t="s">
        <v>210</v>
      </c>
      <c r="D8" s="217"/>
      <c r="E8" s="217"/>
      <c r="F8" s="217"/>
      <c r="G8" s="4"/>
      <c r="H8" s="4" t="s">
        <v>5</v>
      </c>
    </row>
    <row r="9" spans="1:12" x14ac:dyDescent="0.25">
      <c r="A9" s="4" t="s">
        <v>6</v>
      </c>
      <c r="B9" s="31"/>
      <c r="C9" s="848" t="s">
        <v>212</v>
      </c>
      <c r="D9" s="31"/>
      <c r="E9" s="849" t="s">
        <v>7</v>
      </c>
      <c r="F9" s="4"/>
      <c r="G9" s="848" t="s">
        <v>8</v>
      </c>
      <c r="H9" s="4" t="s">
        <v>6</v>
      </c>
    </row>
    <row r="10" spans="1:12" x14ac:dyDescent="0.25">
      <c r="B10" s="31"/>
      <c r="D10" s="31"/>
      <c r="E10" s="31"/>
      <c r="F10" s="4"/>
      <c r="G10" s="988"/>
      <c r="H10" s="4"/>
    </row>
    <row r="11" spans="1:12" x14ac:dyDescent="0.25">
      <c r="A11" s="4">
        <v>1</v>
      </c>
      <c r="B11" s="31" t="s">
        <v>608</v>
      </c>
      <c r="C11" s="46" t="s">
        <v>609</v>
      </c>
      <c r="D11" s="31"/>
      <c r="E11" s="40">
        <v>16769.105</v>
      </c>
      <c r="F11" s="41"/>
      <c r="G11" s="412"/>
      <c r="H11" s="4">
        <f>A11</f>
        <v>1</v>
      </c>
      <c r="K11" s="46"/>
    </row>
    <row r="12" spans="1:12" x14ac:dyDescent="0.25">
      <c r="A12" s="4">
        <f>+A11+1</f>
        <v>2</v>
      </c>
      <c r="B12" s="31"/>
      <c r="C12" s="46"/>
      <c r="D12" s="31"/>
      <c r="E12" s="70"/>
      <c r="F12" s="41"/>
      <c r="G12" s="413"/>
      <c r="H12" s="4">
        <f>+H11+1</f>
        <v>2</v>
      </c>
      <c r="K12" s="46"/>
    </row>
    <row r="13" spans="1:12" x14ac:dyDescent="0.25">
      <c r="A13" s="4">
        <f t="shared" ref="A13:A25" si="0">+A12+1</f>
        <v>3</v>
      </c>
      <c r="B13" s="31" t="s">
        <v>610</v>
      </c>
      <c r="C13" s="46" t="s">
        <v>611</v>
      </c>
      <c r="D13" s="31"/>
      <c r="E13" s="42">
        <v>33945.313999999998</v>
      </c>
      <c r="F13" s="41"/>
      <c r="G13" s="412"/>
      <c r="H13" s="4">
        <f t="shared" ref="H13:H25" si="1">+H12+1</f>
        <v>3</v>
      </c>
      <c r="K13" s="46"/>
    </row>
    <row r="14" spans="1:12" x14ac:dyDescent="0.25">
      <c r="A14" s="4">
        <f t="shared" si="0"/>
        <v>4</v>
      </c>
      <c r="B14" s="31"/>
      <c r="C14" s="46"/>
      <c r="D14" s="31"/>
      <c r="E14" s="38"/>
      <c r="F14" s="41"/>
      <c r="G14" s="412"/>
      <c r="H14" s="4">
        <f t="shared" si="1"/>
        <v>4</v>
      </c>
      <c r="K14" s="46"/>
    </row>
    <row r="15" spans="1:12" x14ac:dyDescent="0.25">
      <c r="A15" s="4">
        <f t="shared" si="0"/>
        <v>5</v>
      </c>
      <c r="B15" s="31" t="s">
        <v>612</v>
      </c>
      <c r="C15" s="46" t="s">
        <v>613</v>
      </c>
      <c r="D15" s="31"/>
      <c r="E15" s="42">
        <v>80191.603000000003</v>
      </c>
      <c r="F15" s="41"/>
      <c r="G15" s="412"/>
      <c r="H15" s="4">
        <f t="shared" si="1"/>
        <v>5</v>
      </c>
      <c r="K15" s="46"/>
    </row>
    <row r="16" spans="1:12" x14ac:dyDescent="0.25">
      <c r="A16" s="4">
        <f t="shared" si="0"/>
        <v>6</v>
      </c>
      <c r="B16" s="31"/>
      <c r="C16" s="46"/>
      <c r="D16" s="31"/>
      <c r="E16" s="38"/>
      <c r="F16" s="41"/>
      <c r="G16" s="412"/>
      <c r="H16" s="4">
        <f t="shared" si="1"/>
        <v>6</v>
      </c>
      <c r="K16" s="46"/>
    </row>
    <row r="17" spans="1:11" x14ac:dyDescent="0.25">
      <c r="A17" s="4">
        <f t="shared" si="0"/>
        <v>7</v>
      </c>
      <c r="B17" s="31" t="s">
        <v>614</v>
      </c>
      <c r="C17" s="46" t="s">
        <v>615</v>
      </c>
      <c r="D17" s="31"/>
      <c r="E17" s="42">
        <v>12655.782999999999</v>
      </c>
      <c r="F17" s="41"/>
      <c r="G17" s="412"/>
      <c r="H17" s="4">
        <f t="shared" si="1"/>
        <v>7</v>
      </c>
      <c r="K17" s="46"/>
    </row>
    <row r="18" spans="1:11" x14ac:dyDescent="0.25">
      <c r="A18" s="4">
        <f t="shared" si="0"/>
        <v>8</v>
      </c>
      <c r="B18" s="31"/>
      <c r="C18" s="46"/>
      <c r="D18" s="31"/>
      <c r="E18" s="38"/>
      <c r="F18" s="41"/>
      <c r="G18" s="412"/>
      <c r="H18" s="4">
        <f t="shared" si="1"/>
        <v>8</v>
      </c>
      <c r="K18" s="46"/>
    </row>
    <row r="19" spans="1:11" x14ac:dyDescent="0.25">
      <c r="A19" s="4">
        <f t="shared" si="0"/>
        <v>9</v>
      </c>
      <c r="B19" s="31" t="s">
        <v>616</v>
      </c>
      <c r="C19" s="46" t="s">
        <v>617</v>
      </c>
      <c r="D19" s="31"/>
      <c r="E19" s="42">
        <v>16950.915000000001</v>
      </c>
      <c r="F19" s="41"/>
      <c r="G19" s="412"/>
      <c r="H19" s="4">
        <f t="shared" si="1"/>
        <v>9</v>
      </c>
      <c r="K19" s="46"/>
    </row>
    <row r="20" spans="1:11" x14ac:dyDescent="0.25">
      <c r="A20" s="4">
        <f t="shared" si="0"/>
        <v>10</v>
      </c>
      <c r="B20" s="31"/>
      <c r="C20" s="46"/>
      <c r="D20" s="31"/>
      <c r="E20" s="38"/>
      <c r="F20" s="41"/>
      <c r="G20" s="412"/>
      <c r="H20" s="4">
        <f t="shared" si="1"/>
        <v>10</v>
      </c>
      <c r="K20" s="46"/>
    </row>
    <row r="21" spans="1:11" x14ac:dyDescent="0.25">
      <c r="A21" s="4">
        <f t="shared" si="0"/>
        <v>11</v>
      </c>
      <c r="B21" s="31" t="s">
        <v>618</v>
      </c>
      <c r="C21" s="46" t="s">
        <v>619</v>
      </c>
      <c r="D21" s="31"/>
      <c r="E21" s="905">
        <v>0</v>
      </c>
      <c r="F21" s="41"/>
      <c r="G21" s="412"/>
      <c r="H21" s="4">
        <f t="shared" si="1"/>
        <v>11</v>
      </c>
      <c r="K21" s="46"/>
    </row>
    <row r="22" spans="1:11" x14ac:dyDescent="0.25">
      <c r="A22" s="4">
        <f t="shared" si="0"/>
        <v>12</v>
      </c>
      <c r="B22" s="31"/>
      <c r="D22" s="31"/>
      <c r="E22" s="70"/>
      <c r="F22" s="41"/>
      <c r="G22" s="46"/>
      <c r="H22" s="4">
        <f t="shared" si="1"/>
        <v>12</v>
      </c>
    </row>
    <row r="23" spans="1:11" ht="16.5" thickBot="1" x14ac:dyDescent="0.3">
      <c r="A23" s="4">
        <f t="shared" si="0"/>
        <v>13</v>
      </c>
      <c r="B23" s="31" t="s">
        <v>620</v>
      </c>
      <c r="D23" s="31"/>
      <c r="E23" s="118">
        <f>SUM(E11:E21)</f>
        <v>160512.72</v>
      </c>
      <c r="F23" s="41"/>
      <c r="G23" s="44" t="s">
        <v>621</v>
      </c>
      <c r="H23" s="4">
        <f t="shared" si="1"/>
        <v>13</v>
      </c>
    </row>
    <row r="24" spans="1:11" ht="16.5" thickTop="1" x14ac:dyDescent="0.25">
      <c r="A24" s="4">
        <f t="shared" si="0"/>
        <v>14</v>
      </c>
      <c r="B24" s="31"/>
      <c r="D24" s="31"/>
      <c r="E24" s="48"/>
      <c r="F24" s="41"/>
      <c r="G24" s="44"/>
      <c r="H24" s="4">
        <f t="shared" si="1"/>
        <v>14</v>
      </c>
    </row>
    <row r="25" spans="1:11" ht="16.5" thickBot="1" x14ac:dyDescent="0.3">
      <c r="A25" s="4">
        <f t="shared" si="0"/>
        <v>15</v>
      </c>
      <c r="B25" s="31" t="s">
        <v>238</v>
      </c>
      <c r="D25" s="31"/>
      <c r="E25" s="108">
        <f>IFERROR(E13/E23,0)</f>
        <v>0.21148052316352248</v>
      </c>
      <c r="F25" s="73"/>
      <c r="G25" s="4" t="s">
        <v>622</v>
      </c>
      <c r="H25" s="4">
        <f t="shared" si="1"/>
        <v>15</v>
      </c>
    </row>
    <row r="26" spans="1:11" ht="16.5" thickTop="1" x14ac:dyDescent="0.25">
      <c r="B26" s="31"/>
      <c r="D26" s="31"/>
      <c r="E26" s="72"/>
      <c r="F26" s="73"/>
      <c r="G26" s="4"/>
      <c r="H26" s="4"/>
    </row>
    <row r="27" spans="1:11" x14ac:dyDescent="0.25">
      <c r="B27" s="31"/>
      <c r="D27" s="31"/>
      <c r="E27" s="72"/>
      <c r="F27" s="73"/>
      <c r="G27" s="44"/>
      <c r="H27" s="4"/>
    </row>
    <row r="28" spans="1:11" x14ac:dyDescent="0.25">
      <c r="B28" s="31"/>
      <c r="D28" s="31"/>
      <c r="E28" s="153"/>
      <c r="F28" s="73"/>
      <c r="G28" s="4"/>
      <c r="H28" s="4"/>
    </row>
    <row r="29" spans="1:11" x14ac:dyDescent="0.25">
      <c r="E29" s="679"/>
    </row>
  </sheetData>
  <mergeCells count="5">
    <mergeCell ref="B2:G2"/>
    <mergeCell ref="B3:G3"/>
    <mergeCell ref="B4:G4"/>
    <mergeCell ref="B5:G5"/>
    <mergeCell ref="B6:G6"/>
  </mergeCells>
  <pageMargins left="0.7" right="0.7" top="0.75" bottom="0.75" header="0.3" footer="0.3"/>
  <pageSetup scale="60" orientation="portrait" r:id="rId1"/>
  <headerFooter scaleWithDoc="0">
    <oddFooter>&amp;C&amp;A</oddFooter>
  </headerFooter>
  <customProperties>
    <customPr name="_pios_id" r:id="rId2"/>
  </customPropertie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E12F7-9F88-4635-8E59-C08313D9831F}">
  <sheetPr>
    <pageSetUpPr fitToPage="1"/>
  </sheetPr>
  <dimension ref="A1:L41"/>
  <sheetViews>
    <sheetView zoomScale="80" zoomScaleNormal="80" workbookViewId="0">
      <selection activeCell="E33" sqref="E33"/>
    </sheetView>
  </sheetViews>
  <sheetFormatPr defaultColWidth="8.7109375" defaultRowHeight="15.75" x14ac:dyDescent="0.25"/>
  <cols>
    <col min="1" max="1" width="5.28515625" style="4" customWidth="1"/>
    <col min="2" max="2" width="71.5703125" style="31" customWidth="1"/>
    <col min="3" max="3" width="21.28515625" style="357" customWidth="1"/>
    <col min="4" max="4" width="1.5703125" style="31" customWidth="1"/>
    <col min="5" max="5" width="16.7109375" style="31" customWidth="1"/>
    <col min="6" max="6" width="1.5703125" style="31" customWidth="1"/>
    <col min="7" max="7" width="34.5703125" style="31" customWidth="1"/>
    <col min="8" max="8" width="5.28515625" style="4" customWidth="1"/>
    <col min="9" max="9" width="20.42578125" style="31" bestFit="1" customWidth="1"/>
    <col min="10" max="16384" width="8.7109375" style="31"/>
  </cols>
  <sheetData>
    <row r="1" spans="1:8" x14ac:dyDescent="0.25">
      <c r="B1" s="32"/>
      <c r="E1" s="70"/>
      <c r="F1" s="41"/>
      <c r="G1" s="4"/>
    </row>
    <row r="2" spans="1:8" x14ac:dyDescent="0.25">
      <c r="B2" s="1316" t="s">
        <v>0</v>
      </c>
      <c r="C2" s="1316"/>
      <c r="D2" s="1316"/>
      <c r="E2" s="1316"/>
      <c r="F2" s="1316"/>
      <c r="G2" s="1316"/>
    </row>
    <row r="3" spans="1:8" x14ac:dyDescent="0.25">
      <c r="B3" s="1316" t="s">
        <v>623</v>
      </c>
      <c r="C3" s="1316"/>
      <c r="D3" s="1316"/>
      <c r="E3" s="1316"/>
      <c r="F3" s="1316"/>
      <c r="G3" s="1316"/>
    </row>
    <row r="4" spans="1:8" x14ac:dyDescent="0.25">
      <c r="B4" s="1316" t="s">
        <v>624</v>
      </c>
      <c r="C4" s="1316"/>
      <c r="D4" s="1316"/>
      <c r="E4" s="1316"/>
      <c r="F4" s="1316"/>
      <c r="G4" s="1316"/>
    </row>
    <row r="5" spans="1:8" x14ac:dyDescent="0.25">
      <c r="B5" s="1318" t="str">
        <f>'Stmt AD'!B5</f>
        <v>Base Period &amp; True-Up Period 12 - Months Ending December 31, 2025</v>
      </c>
      <c r="C5" s="1318"/>
      <c r="D5" s="1318"/>
      <c r="E5" s="1318"/>
      <c r="F5" s="1318"/>
      <c r="G5" s="1318"/>
    </row>
    <row r="6" spans="1:8" ht="15.75" customHeight="1" x14ac:dyDescent="0.25">
      <c r="B6" s="1327">
        <v>-1000</v>
      </c>
      <c r="C6" s="1327"/>
      <c r="D6" s="1327"/>
      <c r="E6" s="1327"/>
      <c r="F6" s="1327"/>
      <c r="G6" s="1327"/>
    </row>
    <row r="7" spans="1:8" x14ac:dyDescent="0.25">
      <c r="B7" s="4"/>
      <c r="D7" s="4"/>
      <c r="E7" s="4"/>
      <c r="F7" s="217"/>
      <c r="G7" s="4"/>
    </row>
    <row r="8" spans="1:8" x14ac:dyDescent="0.25">
      <c r="A8" s="4" t="s">
        <v>5</v>
      </c>
      <c r="B8" s="217"/>
      <c r="C8" s="4" t="s">
        <v>210</v>
      </c>
      <c r="D8" s="217"/>
      <c r="E8" s="34"/>
      <c r="F8" s="217"/>
      <c r="G8" s="4"/>
      <c r="H8" s="4" t="s">
        <v>5</v>
      </c>
    </row>
    <row r="9" spans="1:8" x14ac:dyDescent="0.25">
      <c r="A9" s="4" t="s">
        <v>6</v>
      </c>
      <c r="B9" s="217"/>
      <c r="C9" s="848" t="s">
        <v>212</v>
      </c>
      <c r="D9" s="217"/>
      <c r="E9" s="849" t="s">
        <v>7</v>
      </c>
      <c r="F9" s="217"/>
      <c r="G9" s="848" t="s">
        <v>8</v>
      </c>
      <c r="H9" s="4" t="s">
        <v>6</v>
      </c>
    </row>
    <row r="10" spans="1:8" x14ac:dyDescent="0.25">
      <c r="B10" s="217"/>
      <c r="C10" s="414"/>
      <c r="D10" s="217"/>
      <c r="E10" s="4"/>
      <c r="F10" s="217"/>
      <c r="G10" s="4"/>
    </row>
    <row r="11" spans="1:8" x14ac:dyDescent="0.25">
      <c r="A11" s="4">
        <v>1</v>
      </c>
      <c r="B11" s="32" t="s">
        <v>625</v>
      </c>
      <c r="D11" s="4"/>
      <c r="E11" s="109">
        <f>'AJ-1'!G26</f>
        <v>262244.30897809606</v>
      </c>
      <c r="F11" s="4"/>
      <c r="G11" s="46" t="s">
        <v>1612</v>
      </c>
      <c r="H11" s="4">
        <f>A11</f>
        <v>1</v>
      </c>
    </row>
    <row r="12" spans="1:8" x14ac:dyDescent="0.25">
      <c r="A12" s="4">
        <f>A11+1</f>
        <v>2</v>
      </c>
      <c r="E12" s="110"/>
      <c r="F12" s="71"/>
      <c r="G12" s="46"/>
      <c r="H12" s="4">
        <f>H11+1</f>
        <v>2</v>
      </c>
    </row>
    <row r="13" spans="1:8" x14ac:dyDescent="0.25">
      <c r="A13" s="4">
        <f t="shared" ref="A13:A33" si="0">A12+1</f>
        <v>3</v>
      </c>
      <c r="B13" s="31" t="s">
        <v>626</v>
      </c>
      <c r="C13" s="4" t="s">
        <v>627</v>
      </c>
      <c r="E13" s="42">
        <f>'AJ-2'!C15</f>
        <v>0</v>
      </c>
      <c r="F13" s="71"/>
      <c r="G13" s="46" t="s">
        <v>628</v>
      </c>
      <c r="H13" s="4">
        <f t="shared" ref="H13:H28" si="1">H12+1</f>
        <v>3</v>
      </c>
    </row>
    <row r="14" spans="1:8" x14ac:dyDescent="0.25">
      <c r="A14" s="4">
        <f t="shared" si="0"/>
        <v>4</v>
      </c>
      <c r="C14" s="4"/>
      <c r="E14" s="110"/>
      <c r="F14" s="71"/>
      <c r="G14" s="46"/>
      <c r="H14" s="4">
        <f t="shared" si="1"/>
        <v>4</v>
      </c>
    </row>
    <row r="15" spans="1:8" x14ac:dyDescent="0.25">
      <c r="A15" s="4">
        <f t="shared" si="0"/>
        <v>5</v>
      </c>
      <c r="B15" s="31" t="s">
        <v>629</v>
      </c>
      <c r="C15" s="4" t="s">
        <v>630</v>
      </c>
      <c r="E15" s="111">
        <f>'AJ-3'!C15</f>
        <v>24038.51584</v>
      </c>
      <c r="F15" s="44"/>
      <c r="G15" s="46" t="s">
        <v>631</v>
      </c>
      <c r="H15" s="4">
        <f t="shared" si="1"/>
        <v>5</v>
      </c>
    </row>
    <row r="16" spans="1:8" x14ac:dyDescent="0.25">
      <c r="A16" s="4">
        <f t="shared" si="0"/>
        <v>6</v>
      </c>
      <c r="C16" s="4"/>
      <c r="E16" s="38"/>
      <c r="F16" s="73"/>
      <c r="G16" s="46"/>
      <c r="H16" s="4">
        <f t="shared" si="1"/>
        <v>6</v>
      </c>
    </row>
    <row r="17" spans="1:12" x14ac:dyDescent="0.25">
      <c r="A17" s="4">
        <f t="shared" si="0"/>
        <v>7</v>
      </c>
      <c r="B17" s="31" t="s">
        <v>632</v>
      </c>
      <c r="C17" s="4" t="s">
        <v>633</v>
      </c>
      <c r="E17" s="42">
        <f>'AJ-4'!D15</f>
        <v>185530.98935670001</v>
      </c>
      <c r="F17" s="41"/>
      <c r="G17" s="46" t="s">
        <v>634</v>
      </c>
      <c r="H17" s="4">
        <f t="shared" si="1"/>
        <v>7</v>
      </c>
    </row>
    <row r="18" spans="1:12" x14ac:dyDescent="0.25">
      <c r="A18" s="4">
        <f t="shared" si="0"/>
        <v>8</v>
      </c>
      <c r="E18" s="72"/>
      <c r="F18" s="73"/>
      <c r="G18" s="46"/>
      <c r="H18" s="4">
        <f t="shared" si="1"/>
        <v>8</v>
      </c>
    </row>
    <row r="19" spans="1:12" x14ac:dyDescent="0.25">
      <c r="A19" s="4">
        <f t="shared" si="0"/>
        <v>9</v>
      </c>
      <c r="B19" s="31" t="s">
        <v>238</v>
      </c>
      <c r="E19" s="968">
        <f>'True-Up Stmt AI'!E25</f>
        <v>0.21148052316352248</v>
      </c>
      <c r="F19" s="73"/>
      <c r="G19" s="46" t="s">
        <v>239</v>
      </c>
      <c r="H19" s="4">
        <f t="shared" si="1"/>
        <v>9</v>
      </c>
      <c r="J19" s="276"/>
      <c r="K19" s="276"/>
      <c r="L19" s="276"/>
    </row>
    <row r="20" spans="1:12" x14ac:dyDescent="0.25">
      <c r="A20" s="4">
        <f t="shared" si="0"/>
        <v>10</v>
      </c>
      <c r="E20" s="112"/>
      <c r="F20" s="73"/>
      <c r="G20" s="46"/>
      <c r="H20" s="4">
        <f t="shared" si="1"/>
        <v>10</v>
      </c>
    </row>
    <row r="21" spans="1:12" x14ac:dyDescent="0.25">
      <c r="A21" s="4">
        <f t="shared" si="0"/>
        <v>11</v>
      </c>
      <c r="B21" s="31" t="s">
        <v>635</v>
      </c>
      <c r="E21" s="75">
        <f>E13*$E$19</f>
        <v>0</v>
      </c>
      <c r="F21" s="71"/>
      <c r="G21" s="46" t="s">
        <v>365</v>
      </c>
      <c r="H21" s="4">
        <f t="shared" si="1"/>
        <v>11</v>
      </c>
    </row>
    <row r="22" spans="1:12" x14ac:dyDescent="0.25">
      <c r="A22" s="4">
        <f t="shared" si="0"/>
        <v>12</v>
      </c>
      <c r="E22" s="112"/>
      <c r="F22" s="73"/>
      <c r="G22" s="46"/>
      <c r="H22" s="4">
        <f t="shared" si="1"/>
        <v>12</v>
      </c>
    </row>
    <row r="23" spans="1:12" x14ac:dyDescent="0.25">
      <c r="A23" s="4">
        <f t="shared" si="0"/>
        <v>13</v>
      </c>
      <c r="B23" s="31" t="s">
        <v>636</v>
      </c>
      <c r="E23" s="38">
        <f>E15*$E$19</f>
        <v>5083.6779059178216</v>
      </c>
      <c r="F23" s="41"/>
      <c r="G23" s="46" t="s">
        <v>367</v>
      </c>
      <c r="H23" s="4">
        <f t="shared" si="1"/>
        <v>13</v>
      </c>
    </row>
    <row r="24" spans="1:12" x14ac:dyDescent="0.25">
      <c r="A24" s="4">
        <f t="shared" si="0"/>
        <v>14</v>
      </c>
      <c r="B24" s="31" t="s">
        <v>1</v>
      </c>
      <c r="E24" s="76"/>
      <c r="F24" s="41"/>
      <c r="G24" s="46"/>
      <c r="H24" s="4">
        <f t="shared" si="1"/>
        <v>14</v>
      </c>
    </row>
    <row r="25" spans="1:12" x14ac:dyDescent="0.25">
      <c r="A25" s="4">
        <f t="shared" si="0"/>
        <v>15</v>
      </c>
      <c r="B25" s="31" t="s">
        <v>637</v>
      </c>
      <c r="E25" s="922">
        <f>E17*$E$19</f>
        <v>39236.190692200842</v>
      </c>
      <c r="F25" s="41"/>
      <c r="G25" s="46" t="s">
        <v>369</v>
      </c>
      <c r="H25" s="4">
        <f t="shared" si="1"/>
        <v>15</v>
      </c>
    </row>
    <row r="26" spans="1:12" x14ac:dyDescent="0.25">
      <c r="A26" s="4">
        <f t="shared" si="0"/>
        <v>16</v>
      </c>
      <c r="E26" s="76"/>
      <c r="F26" s="41"/>
      <c r="G26" s="46"/>
      <c r="H26" s="4">
        <f t="shared" si="1"/>
        <v>16</v>
      </c>
    </row>
    <row r="27" spans="1:12" ht="16.5" thickBot="1" x14ac:dyDescent="0.3">
      <c r="A27" s="4">
        <f t="shared" si="0"/>
        <v>17</v>
      </c>
      <c r="B27" s="31" t="s">
        <v>638</v>
      </c>
      <c r="D27" s="48"/>
      <c r="E27" s="77">
        <f>E11+E21+E23+E25</f>
        <v>306564.17757621472</v>
      </c>
      <c r="F27" s="71"/>
      <c r="G27" s="46" t="s">
        <v>370</v>
      </c>
      <c r="H27" s="4">
        <f t="shared" si="1"/>
        <v>17</v>
      </c>
    </row>
    <row r="28" spans="1:12" ht="16.5" thickTop="1" x14ac:dyDescent="0.25">
      <c r="A28" s="4">
        <f t="shared" si="0"/>
        <v>18</v>
      </c>
      <c r="D28" s="48"/>
      <c r="E28" s="48"/>
      <c r="F28" s="41"/>
      <c r="G28" s="46"/>
      <c r="H28" s="4">
        <f t="shared" si="1"/>
        <v>18</v>
      </c>
    </row>
    <row r="29" spans="1:12" ht="16.5" thickBot="1" x14ac:dyDescent="0.3">
      <c r="A29" s="4">
        <f>A28+1</f>
        <v>19</v>
      </c>
      <c r="B29" s="31" t="s">
        <v>35</v>
      </c>
      <c r="D29" s="48"/>
      <c r="E29" s="78">
        <f>'AJ-5'!F28</f>
        <v>0</v>
      </c>
      <c r="F29" s="41"/>
      <c r="G29" s="46" t="s">
        <v>1613</v>
      </c>
      <c r="H29" s="4">
        <f>H28+1</f>
        <v>19</v>
      </c>
    </row>
    <row r="30" spans="1:12" ht="16.5" thickTop="1" x14ac:dyDescent="0.25">
      <c r="A30" s="4">
        <f t="shared" si="0"/>
        <v>20</v>
      </c>
      <c r="D30" s="48"/>
      <c r="F30" s="41"/>
      <c r="G30" s="46"/>
      <c r="H30" s="4">
        <f t="shared" ref="H30:H33" si="2">H29+1</f>
        <v>20</v>
      </c>
    </row>
    <row r="31" spans="1:12" ht="19.5" thickBot="1" x14ac:dyDescent="0.3">
      <c r="A31" s="4">
        <f>A30+1</f>
        <v>21</v>
      </c>
      <c r="B31" s="31" t="s">
        <v>639</v>
      </c>
      <c r="D31" s="415"/>
      <c r="E31" s="78">
        <f>'AJ-6'!C17</f>
        <v>0</v>
      </c>
      <c r="F31" s="263"/>
      <c r="G31" s="46" t="s">
        <v>640</v>
      </c>
      <c r="H31" s="4">
        <f>H30+1</f>
        <v>21</v>
      </c>
    </row>
    <row r="32" spans="1:12" ht="16.5" thickTop="1" x14ac:dyDescent="0.25">
      <c r="A32" s="4">
        <f t="shared" si="0"/>
        <v>22</v>
      </c>
      <c r="D32" s="38"/>
      <c r="E32" s="38"/>
      <c r="F32" s="41"/>
      <c r="G32" s="46"/>
      <c r="H32" s="4">
        <f t="shared" si="2"/>
        <v>22</v>
      </c>
    </row>
    <row r="33" spans="1:8" ht="16.5" thickBot="1" x14ac:dyDescent="0.3">
      <c r="A33" s="4">
        <f t="shared" si="0"/>
        <v>23</v>
      </c>
      <c r="B33" s="31" t="s">
        <v>641</v>
      </c>
      <c r="C33" s="414"/>
      <c r="D33" s="110"/>
      <c r="E33" s="78">
        <f>'AJ-7'!C17</f>
        <v>0</v>
      </c>
      <c r="F33" s="41"/>
      <c r="G33" s="46" t="s">
        <v>642</v>
      </c>
      <c r="H33" s="4">
        <f t="shared" si="2"/>
        <v>23</v>
      </c>
    </row>
    <row r="34" spans="1:8" ht="16.5" thickTop="1" x14ac:dyDescent="0.25">
      <c r="B34" s="32"/>
      <c r="E34" s="110"/>
      <c r="F34" s="41"/>
      <c r="G34" s="49"/>
    </row>
    <row r="35" spans="1:8" x14ac:dyDescent="0.25">
      <c r="B35" s="32"/>
      <c r="E35" s="110"/>
      <c r="F35" s="41"/>
      <c r="G35" s="49"/>
    </row>
    <row r="36" spans="1:8" ht="18.75" x14ac:dyDescent="0.25">
      <c r="A36" s="265">
        <v>1</v>
      </c>
      <c r="B36" s="31" t="s">
        <v>643</v>
      </c>
      <c r="E36" s="48"/>
      <c r="F36" s="41"/>
      <c r="G36" s="46"/>
    </row>
    <row r="37" spans="1:8" x14ac:dyDescent="0.25">
      <c r="E37" s="48"/>
      <c r="F37" s="41"/>
      <c r="G37" s="46"/>
    </row>
    <row r="38" spans="1:8" x14ac:dyDescent="0.25">
      <c r="B38" s="250"/>
      <c r="E38" s="38"/>
      <c r="F38" s="41"/>
      <c r="G38" s="46"/>
    </row>
    <row r="39" spans="1:8" x14ac:dyDescent="0.25">
      <c r="B39" s="1"/>
      <c r="C39" s="414"/>
      <c r="E39" s="113"/>
      <c r="F39" s="41"/>
      <c r="G39" s="416"/>
    </row>
    <row r="40" spans="1:8" x14ac:dyDescent="0.25">
      <c r="B40" s="250"/>
      <c r="E40" s="70"/>
      <c r="F40" s="41"/>
      <c r="G40" s="416"/>
    </row>
    <row r="41" spans="1:8" x14ac:dyDescent="0.25">
      <c r="F41" s="4"/>
      <c r="G41" s="46"/>
    </row>
  </sheetData>
  <mergeCells count="5">
    <mergeCell ref="B2:G2"/>
    <mergeCell ref="B3:G3"/>
    <mergeCell ref="B4:G4"/>
    <mergeCell ref="B5:G5"/>
    <mergeCell ref="B6:G6"/>
  </mergeCells>
  <pageMargins left="0.7" right="0.7" top="0.75" bottom="0.75" header="0.3" footer="0.3"/>
  <pageSetup scale="57" orientation="portrait" r:id="rId1"/>
  <headerFooter scaleWithDoc="0">
    <oddFooter>&amp;C&amp;A</oddFooter>
  </headerFooter>
  <customProperties>
    <customPr name="_pios_id" r:id="rId2"/>
  </customPropertie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0BA86-15A9-4269-9C29-EB5670889247}">
  <sheetPr>
    <pageSetUpPr fitToPage="1"/>
  </sheetPr>
  <dimension ref="A1:M28"/>
  <sheetViews>
    <sheetView zoomScale="80" zoomScaleNormal="80" workbookViewId="0">
      <selection activeCell="B5" sqref="B5:G5"/>
    </sheetView>
  </sheetViews>
  <sheetFormatPr defaultColWidth="8.7109375" defaultRowHeight="15.75" x14ac:dyDescent="0.25"/>
  <cols>
    <col min="1" max="1" width="5.28515625" style="4" bestFit="1" customWidth="1"/>
    <col min="2" max="2" width="55.28515625" style="31" customWidth="1"/>
    <col min="3" max="3" width="24" style="31" customWidth="1"/>
    <col min="4" max="4" width="1.5703125" style="31" customWidth="1"/>
    <col min="5" max="5" width="16.7109375" style="31" customWidth="1"/>
    <col min="6" max="6" width="1.5703125" style="31" customWidth="1"/>
    <col min="7" max="7" width="34.5703125" style="31" customWidth="1"/>
    <col min="8" max="8" width="5.28515625" style="31" bestFit="1" customWidth="1"/>
    <col min="9" max="9" width="8.7109375" style="31"/>
    <col min="10" max="10" width="19.28515625" style="31" customWidth="1"/>
    <col min="11" max="11" width="17.7109375" style="31" customWidth="1"/>
    <col min="12" max="12" width="17.5703125" style="31" customWidth="1"/>
    <col min="13" max="16384" width="8.7109375" style="31"/>
  </cols>
  <sheetData>
    <row r="1" spans="1:11" x14ac:dyDescent="0.25">
      <c r="A1" s="4" t="s">
        <v>1</v>
      </c>
      <c r="G1" s="4"/>
      <c r="H1" s="4"/>
    </row>
    <row r="2" spans="1:11" x14ac:dyDescent="0.25">
      <c r="B2" s="1316" t="s">
        <v>0</v>
      </c>
      <c r="C2" s="1316"/>
      <c r="D2" s="1316"/>
      <c r="E2" s="1316"/>
      <c r="F2" s="1316"/>
      <c r="G2" s="1316"/>
      <c r="H2" s="4"/>
    </row>
    <row r="3" spans="1:11" x14ac:dyDescent="0.25">
      <c r="B3" s="1316" t="s">
        <v>814</v>
      </c>
      <c r="C3" s="1316"/>
      <c r="D3" s="1316"/>
      <c r="E3" s="1316"/>
      <c r="F3" s="1316"/>
      <c r="G3" s="1316"/>
      <c r="H3" s="4"/>
    </row>
    <row r="4" spans="1:11" x14ac:dyDescent="0.25">
      <c r="B4" s="1316" t="s">
        <v>815</v>
      </c>
      <c r="C4" s="1316"/>
      <c r="D4" s="1316"/>
      <c r="E4" s="1316"/>
      <c r="F4" s="1316"/>
      <c r="G4" s="1316"/>
      <c r="H4" s="4"/>
    </row>
    <row r="5" spans="1:11" x14ac:dyDescent="0.25">
      <c r="B5" s="1318" t="str">
        <f>'Stmt AD'!B5</f>
        <v>Base Period &amp; True-Up Period 12 - Months Ending December 31, 2025</v>
      </c>
      <c r="C5" s="1318"/>
      <c r="D5" s="1318"/>
      <c r="E5" s="1318"/>
      <c r="F5" s="1318"/>
      <c r="G5" s="1318"/>
      <c r="H5" s="4"/>
    </row>
    <row r="6" spans="1:11" x14ac:dyDescent="0.25">
      <c r="B6" s="1312" t="s">
        <v>4</v>
      </c>
      <c r="C6" s="1313"/>
      <c r="D6" s="1313"/>
      <c r="E6" s="1313"/>
      <c r="F6" s="1313"/>
      <c r="G6" s="1313"/>
      <c r="H6" s="4"/>
    </row>
    <row r="7" spans="1:11" x14ac:dyDescent="0.25">
      <c r="B7" s="4"/>
      <c r="C7" s="4"/>
      <c r="D7" s="4"/>
      <c r="E7" s="4"/>
      <c r="F7" s="4"/>
      <c r="G7" s="4"/>
      <c r="H7" s="4"/>
    </row>
    <row r="8" spans="1:11" x14ac:dyDescent="0.25">
      <c r="A8" s="4" t="s">
        <v>5</v>
      </c>
      <c r="B8" s="217"/>
      <c r="C8" s="4" t="s">
        <v>210</v>
      </c>
      <c r="D8" s="217"/>
      <c r="E8" s="217"/>
      <c r="F8" s="217"/>
      <c r="G8" s="4"/>
      <c r="H8" s="4" t="s">
        <v>5</v>
      </c>
    </row>
    <row r="9" spans="1:11" x14ac:dyDescent="0.25">
      <c r="A9" s="4" t="s">
        <v>6</v>
      </c>
      <c r="B9" s="217"/>
      <c r="C9" s="848" t="s">
        <v>212</v>
      </c>
      <c r="D9" s="217"/>
      <c r="E9" s="849" t="s">
        <v>7</v>
      </c>
      <c r="F9" s="217"/>
      <c r="G9" s="848" t="s">
        <v>8</v>
      </c>
      <c r="H9" s="4" t="s">
        <v>6</v>
      </c>
    </row>
    <row r="10" spans="1:11" x14ac:dyDescent="0.25">
      <c r="B10" s="4"/>
      <c r="C10" s="4"/>
      <c r="D10" s="4"/>
      <c r="E10" s="4"/>
      <c r="F10" s="217"/>
      <c r="G10" s="4"/>
      <c r="H10" s="4"/>
    </row>
    <row r="11" spans="1:11" ht="18.75" x14ac:dyDescent="0.25">
      <c r="A11" s="4">
        <v>1</v>
      </c>
      <c r="B11" s="31" t="s">
        <v>1616</v>
      </c>
      <c r="C11" s="4" t="s">
        <v>816</v>
      </c>
      <c r="E11" s="40">
        <f>'Stmt AK'!E11</f>
        <v>225483.68299999999</v>
      </c>
      <c r="F11" s="217"/>
      <c r="G11" s="46"/>
      <c r="H11" s="4">
        <f>A11</f>
        <v>1</v>
      </c>
      <c r="K11" s="35"/>
    </row>
    <row r="12" spans="1:11" ht="16.149999999999999" customHeight="1" x14ac:dyDescent="0.25">
      <c r="A12" s="4">
        <f>+A11+1</f>
        <v>2</v>
      </c>
      <c r="E12" s="48"/>
      <c r="F12" s="217"/>
      <c r="G12" s="443"/>
      <c r="H12" s="4">
        <f>+H11+1</f>
        <v>2</v>
      </c>
    </row>
    <row r="13" spans="1:11" x14ac:dyDescent="0.25">
      <c r="A13" s="4">
        <f>+A12+1</f>
        <v>3</v>
      </c>
      <c r="B13" s="31" t="s">
        <v>493</v>
      </c>
      <c r="C13" s="29"/>
      <c r="D13" s="29"/>
      <c r="E13" s="923">
        <f>+'True-Up Stmt AH'!E60</f>
        <v>0.36842364271105443</v>
      </c>
      <c r="F13" s="414"/>
      <c r="G13" s="4" t="s">
        <v>1699</v>
      </c>
      <c r="H13" s="4">
        <f>+H12+1</f>
        <v>3</v>
      </c>
      <c r="I13" s="358"/>
    </row>
    <row r="14" spans="1:11" x14ac:dyDescent="0.25">
      <c r="A14" s="4">
        <f t="shared" ref="A14:A22" si="0">+A13+1</f>
        <v>4</v>
      </c>
      <c r="C14" s="29"/>
      <c r="D14" s="29"/>
      <c r="F14" s="217"/>
      <c r="G14" s="4"/>
      <c r="H14" s="4">
        <f t="shared" ref="H14:H22" si="1">+H13+1</f>
        <v>4</v>
      </c>
      <c r="I14" s="254"/>
    </row>
    <row r="15" spans="1:11" ht="16.5" thickBot="1" x14ac:dyDescent="0.3">
      <c r="A15" s="4">
        <f t="shared" si="0"/>
        <v>5</v>
      </c>
      <c r="B15" s="31" t="s">
        <v>818</v>
      </c>
      <c r="C15" s="29"/>
      <c r="D15" s="29"/>
      <c r="E15" s="24">
        <f>E11*E13</f>
        <v>83073.519862764661</v>
      </c>
      <c r="F15" s="217"/>
      <c r="G15" s="4" t="s">
        <v>832</v>
      </c>
      <c r="H15" s="4">
        <f t="shared" si="1"/>
        <v>5</v>
      </c>
    </row>
    <row r="16" spans="1:11" ht="17.25" thickTop="1" thickBot="1" x14ac:dyDescent="0.3">
      <c r="A16" s="4">
        <f t="shared" si="0"/>
        <v>6</v>
      </c>
      <c r="B16" s="862"/>
      <c r="C16" s="1037"/>
      <c r="D16" s="1037"/>
      <c r="E16" s="862"/>
      <c r="F16" s="862"/>
      <c r="G16" s="862"/>
      <c r="H16" s="4">
        <f t="shared" si="1"/>
        <v>6</v>
      </c>
    </row>
    <row r="17" spans="1:13" x14ac:dyDescent="0.25">
      <c r="A17" s="4">
        <f>+A16+1</f>
        <v>7</v>
      </c>
      <c r="C17" s="29"/>
      <c r="D17" s="29"/>
      <c r="H17" s="4">
        <f>+H16+1</f>
        <v>7</v>
      </c>
    </row>
    <row r="18" spans="1:13" ht="18.75" x14ac:dyDescent="0.25">
      <c r="A18" s="4">
        <f t="shared" ref="A18:A21" si="2">+A17+1</f>
        <v>8</v>
      </c>
      <c r="B18" s="31" t="s">
        <v>1618</v>
      </c>
      <c r="C18" s="4" t="s">
        <v>819</v>
      </c>
      <c r="E18" s="40">
        <f>'Stmt AK'!E18</f>
        <v>18873.05</v>
      </c>
      <c r="F18" s="217"/>
      <c r="G18" s="90"/>
      <c r="H18" s="4">
        <f t="shared" si="1"/>
        <v>8</v>
      </c>
      <c r="J18"/>
      <c r="K18"/>
      <c r="L18"/>
      <c r="M18"/>
    </row>
    <row r="19" spans="1:13" x14ac:dyDescent="0.25">
      <c r="A19" s="4">
        <f t="shared" si="2"/>
        <v>9</v>
      </c>
      <c r="E19" s="70"/>
      <c r="F19" s="217"/>
      <c r="G19" s="46"/>
      <c r="H19" s="4">
        <f t="shared" si="1"/>
        <v>9</v>
      </c>
    </row>
    <row r="20" spans="1:13" x14ac:dyDescent="0.2">
      <c r="A20" s="4">
        <f t="shared" si="2"/>
        <v>10</v>
      </c>
      <c r="B20" s="31" t="s">
        <v>238</v>
      </c>
      <c r="E20" s="923">
        <f>'True-Up Stmt AI'!E25</f>
        <v>0.21148052316352248</v>
      </c>
      <c r="F20" s="217"/>
      <c r="G20" s="4" t="s">
        <v>239</v>
      </c>
      <c r="H20" s="4">
        <f t="shared" si="1"/>
        <v>10</v>
      </c>
      <c r="J20" s="1206"/>
      <c r="K20" s="1206"/>
      <c r="L20" s="276"/>
    </row>
    <row r="21" spans="1:13" x14ac:dyDescent="0.25">
      <c r="A21" s="4">
        <f t="shared" si="2"/>
        <v>11</v>
      </c>
      <c r="E21" s="74"/>
      <c r="F21" s="217"/>
      <c r="G21" s="4"/>
      <c r="H21" s="4">
        <f t="shared" si="1"/>
        <v>11</v>
      </c>
    </row>
    <row r="22" spans="1:13" ht="16.5" thickBot="1" x14ac:dyDescent="0.3">
      <c r="A22" s="4">
        <f t="shared" si="0"/>
        <v>12</v>
      </c>
      <c r="B22" s="31" t="s">
        <v>820</v>
      </c>
      <c r="E22" s="24">
        <f>E18*E20</f>
        <v>3991.2824876913178</v>
      </c>
      <c r="F22" s="217"/>
      <c r="G22" s="90" t="s">
        <v>1617</v>
      </c>
      <c r="H22" s="4">
        <f t="shared" si="1"/>
        <v>12</v>
      </c>
    </row>
    <row r="23" spans="1:13" ht="16.5" thickTop="1" x14ac:dyDescent="0.25">
      <c r="E23" s="10"/>
      <c r="F23" s="217"/>
      <c r="G23" s="444"/>
      <c r="H23" s="4"/>
      <c r="J23" s="357"/>
    </row>
    <row r="24" spans="1:13" x14ac:dyDescent="0.25">
      <c r="B24" s="31" t="s">
        <v>1</v>
      </c>
      <c r="E24" s="70"/>
      <c r="F24" s="70"/>
      <c r="J24" s="445"/>
    </row>
    <row r="25" spans="1:13" ht="18.75" x14ac:dyDescent="0.25">
      <c r="A25" s="252">
        <v>1</v>
      </c>
      <c r="B25" s="31" t="s">
        <v>1464</v>
      </c>
      <c r="J25" s="357"/>
    </row>
    <row r="26" spans="1:13" ht="18.75" x14ac:dyDescent="0.25">
      <c r="A26" s="823">
        <v>2</v>
      </c>
      <c r="B26" s="31" t="s">
        <v>1465</v>
      </c>
    </row>
    <row r="27" spans="1:13" x14ac:dyDescent="0.25">
      <c r="J27" s="446"/>
    </row>
    <row r="28" spans="1:13" x14ac:dyDescent="0.25">
      <c r="J28" s="446"/>
    </row>
  </sheetData>
  <mergeCells count="5">
    <mergeCell ref="B2:G2"/>
    <mergeCell ref="B3:G3"/>
    <mergeCell ref="B4:G4"/>
    <mergeCell ref="B5:G5"/>
    <mergeCell ref="B6:G6"/>
  </mergeCells>
  <pageMargins left="0.7" right="0.7" top="0.75" bottom="0.75" header="0.3" footer="0.3"/>
  <pageSetup scale="63" orientation="portrait" r:id="rId1"/>
  <headerFooter scaleWithDoc="0">
    <oddFooter>&amp;C&amp;A</oddFooter>
  </headerFooter>
  <customProperties>
    <customPr name="_pios_id" r:id="rId2"/>
  </customProperties>
  <drawing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CCB25-E46C-40B2-B7A7-5745E2B56FB5}">
  <sheetPr>
    <pageSetUpPr fitToPage="1"/>
  </sheetPr>
  <dimension ref="A1:N49"/>
  <sheetViews>
    <sheetView topLeftCell="A9" zoomScale="80" zoomScaleNormal="80" workbookViewId="0">
      <selection activeCell="E46" sqref="E46"/>
    </sheetView>
  </sheetViews>
  <sheetFormatPr defaultColWidth="8.85546875" defaultRowHeight="15.75" x14ac:dyDescent="0.25"/>
  <cols>
    <col min="1" max="1" width="5.140625" style="4" bestFit="1" customWidth="1"/>
    <col min="2" max="2" width="79.42578125" style="31" customWidth="1"/>
    <col min="3" max="3" width="25.5703125" style="357" bestFit="1" customWidth="1"/>
    <col min="4" max="4" width="1.5703125" style="31" customWidth="1"/>
    <col min="5" max="5" width="16.85546875" style="31" customWidth="1"/>
    <col min="6" max="6" width="1.5703125" style="31" customWidth="1"/>
    <col min="7" max="7" width="16.85546875" style="31" customWidth="1"/>
    <col min="8" max="8" width="1.5703125" style="31" customWidth="1"/>
    <col min="9" max="9" width="39.42578125" style="31" bestFit="1" customWidth="1"/>
    <col min="10" max="10" width="5.140625" style="31" customWidth="1"/>
    <col min="11" max="16384" width="8.85546875" style="31"/>
  </cols>
  <sheetData>
    <row r="1" spans="1:10" x14ac:dyDescent="0.25">
      <c r="H1" s="4"/>
      <c r="I1" s="4"/>
      <c r="J1" s="4"/>
    </row>
    <row r="2" spans="1:10" x14ac:dyDescent="0.25">
      <c r="B2" s="1316" t="s">
        <v>0</v>
      </c>
      <c r="C2" s="1324"/>
      <c r="D2" s="1324"/>
      <c r="E2" s="1324"/>
      <c r="F2" s="1324"/>
      <c r="G2" s="1324"/>
      <c r="H2" s="1324"/>
      <c r="I2" s="1324"/>
      <c r="J2" s="217"/>
    </row>
    <row r="3" spans="1:10" x14ac:dyDescent="0.25">
      <c r="B3" s="1316" t="s">
        <v>821</v>
      </c>
      <c r="C3" s="1324"/>
      <c r="D3" s="1324"/>
      <c r="E3" s="1324"/>
      <c r="F3" s="1324"/>
      <c r="G3" s="1324"/>
      <c r="H3" s="1324"/>
      <c r="I3" s="1324"/>
      <c r="J3" s="217"/>
    </row>
    <row r="4" spans="1:10" x14ac:dyDescent="0.25">
      <c r="B4" s="1316" t="s">
        <v>822</v>
      </c>
      <c r="C4" s="1324"/>
      <c r="D4" s="1324"/>
      <c r="E4" s="1324"/>
      <c r="F4" s="1324"/>
      <c r="G4" s="1324"/>
      <c r="H4" s="1324"/>
      <c r="I4" s="1324"/>
      <c r="J4" s="217"/>
    </row>
    <row r="5" spans="1:10" x14ac:dyDescent="0.25">
      <c r="B5" s="1318" t="s">
        <v>2037</v>
      </c>
      <c r="C5" s="1318"/>
      <c r="D5" s="1318"/>
      <c r="E5" s="1318"/>
      <c r="F5" s="1318"/>
      <c r="G5" s="1318"/>
      <c r="H5" s="1318"/>
      <c r="I5" s="1318"/>
      <c r="J5" s="217"/>
    </row>
    <row r="6" spans="1:10" x14ac:dyDescent="0.25">
      <c r="B6" s="1312" t="s">
        <v>4</v>
      </c>
      <c r="C6" s="1312"/>
      <c r="D6" s="1312"/>
      <c r="E6" s="1312"/>
      <c r="F6" s="1312"/>
      <c r="G6" s="1312"/>
      <c r="H6" s="1312"/>
      <c r="I6" s="1312"/>
      <c r="J6" s="1"/>
    </row>
    <row r="7" spans="1:10" x14ac:dyDescent="0.25">
      <c r="B7" s="4"/>
      <c r="D7" s="4"/>
      <c r="E7" s="4"/>
      <c r="F7" s="4"/>
      <c r="G7" s="4"/>
      <c r="H7" s="217"/>
      <c r="I7" s="217"/>
      <c r="J7" s="217"/>
    </row>
    <row r="8" spans="1:10" x14ac:dyDescent="0.25">
      <c r="A8" s="4" t="s">
        <v>5</v>
      </c>
      <c r="B8" s="217"/>
      <c r="C8" s="4" t="s">
        <v>210</v>
      </c>
      <c r="D8" s="4"/>
      <c r="E8" s="4" t="s">
        <v>823</v>
      </c>
      <c r="F8" s="4"/>
      <c r="G8" s="4" t="s">
        <v>824</v>
      </c>
      <c r="H8" s="217"/>
      <c r="I8" s="217"/>
      <c r="J8" s="4" t="s">
        <v>5</v>
      </c>
    </row>
    <row r="9" spans="1:10" x14ac:dyDescent="0.25">
      <c r="A9" s="4" t="s">
        <v>6</v>
      </c>
      <c r="B9" s="217"/>
      <c r="C9" s="848" t="s">
        <v>212</v>
      </c>
      <c r="D9" s="217"/>
      <c r="E9" s="849" t="s">
        <v>825</v>
      </c>
      <c r="F9" s="217"/>
      <c r="G9" s="849" t="s">
        <v>213</v>
      </c>
      <c r="H9" s="217"/>
      <c r="I9" s="848" t="s">
        <v>8</v>
      </c>
      <c r="J9" s="4" t="s">
        <v>6</v>
      </c>
    </row>
    <row r="10" spans="1:10" x14ac:dyDescent="0.25">
      <c r="B10" s="4"/>
      <c r="D10" s="4"/>
      <c r="E10" s="4"/>
      <c r="F10" s="4"/>
      <c r="G10" s="4"/>
      <c r="H10" s="4"/>
      <c r="I10" s="4"/>
      <c r="J10" s="4"/>
    </row>
    <row r="11" spans="1:10" ht="18.75" x14ac:dyDescent="0.25">
      <c r="A11" s="4">
        <v>1</v>
      </c>
      <c r="B11" s="31" t="s">
        <v>826</v>
      </c>
      <c r="C11" s="4" t="s">
        <v>827</v>
      </c>
      <c r="E11" s="48"/>
      <c r="F11" s="71"/>
      <c r="G11" s="40">
        <f>'AL-1'!C32</f>
        <v>230231.57138461538</v>
      </c>
      <c r="H11" s="71"/>
      <c r="I11" s="46" t="s">
        <v>828</v>
      </c>
      <c r="J11" s="4">
        <f>A11</f>
        <v>1</v>
      </c>
    </row>
    <row r="12" spans="1:10" x14ac:dyDescent="0.25">
      <c r="A12" s="4">
        <f>+A11+1</f>
        <v>2</v>
      </c>
      <c r="C12" s="4"/>
      <c r="E12" s="70"/>
      <c r="F12" s="41"/>
      <c r="G12" s="41"/>
      <c r="H12" s="41"/>
      <c r="I12" s="46"/>
      <c r="J12" s="4">
        <f>+J11+1</f>
        <v>2</v>
      </c>
    </row>
    <row r="13" spans="1:10" x14ac:dyDescent="0.25">
      <c r="A13" s="4">
        <f t="shared" ref="A13:A44" si="0">+A12+1</f>
        <v>3</v>
      </c>
      <c r="B13" s="31" t="s">
        <v>829</v>
      </c>
      <c r="C13" s="4"/>
      <c r="E13" s="72"/>
      <c r="F13" s="73"/>
      <c r="G13" s="968">
        <f>'True Up Stmt AD'!I45</f>
        <v>0.36842364271105443</v>
      </c>
      <c r="H13" s="71"/>
      <c r="I13" s="46" t="s">
        <v>830</v>
      </c>
      <c r="J13" s="4">
        <f t="shared" ref="J13:J44" si="1">+J12+1</f>
        <v>3</v>
      </c>
    </row>
    <row r="14" spans="1:10" x14ac:dyDescent="0.25">
      <c r="A14" s="4">
        <f t="shared" si="0"/>
        <v>4</v>
      </c>
      <c r="C14" s="4"/>
      <c r="E14" s="70"/>
      <c r="F14" s="41"/>
      <c r="G14" s="70"/>
      <c r="H14" s="41"/>
      <c r="I14" s="46"/>
      <c r="J14" s="4">
        <f t="shared" si="1"/>
        <v>4</v>
      </c>
    </row>
    <row r="15" spans="1:10" ht="16.5" thickBot="1" x14ac:dyDescent="0.3">
      <c r="A15" s="4">
        <f t="shared" si="0"/>
        <v>5</v>
      </c>
      <c r="B15" s="31" t="s">
        <v>831</v>
      </c>
      <c r="C15" s="4"/>
      <c r="E15" s="75"/>
      <c r="F15" s="41"/>
      <c r="G15" s="77">
        <f>G11*G13</f>
        <v>84822.754196610156</v>
      </c>
      <c r="H15" s="71"/>
      <c r="I15" s="46" t="s">
        <v>832</v>
      </c>
      <c r="J15" s="4">
        <f t="shared" si="1"/>
        <v>5</v>
      </c>
    </row>
    <row r="16" spans="1:10" ht="16.5" thickTop="1" x14ac:dyDescent="0.25">
      <c r="A16" s="4">
        <f t="shared" si="0"/>
        <v>6</v>
      </c>
      <c r="C16" s="4"/>
      <c r="E16" s="6"/>
      <c r="F16" s="4"/>
      <c r="G16" s="4"/>
      <c r="H16" s="4"/>
      <c r="I16" s="46"/>
      <c r="J16" s="4">
        <f t="shared" si="1"/>
        <v>6</v>
      </c>
    </row>
    <row r="17" spans="1:14" ht="18.75" x14ac:dyDescent="0.25">
      <c r="A17" s="4">
        <f t="shared" si="0"/>
        <v>7</v>
      </c>
      <c r="B17" s="31" t="s">
        <v>833</v>
      </c>
      <c r="C17" s="4" t="s">
        <v>834</v>
      </c>
      <c r="D17" s="35"/>
      <c r="E17" s="48"/>
      <c r="F17" s="41"/>
      <c r="G17" s="1262">
        <f>'AL-2'!C30</f>
        <v>89266.621674589915</v>
      </c>
      <c r="H17" s="71"/>
      <c r="I17" s="46" t="s">
        <v>835</v>
      </c>
      <c r="J17" s="4">
        <f t="shared" si="1"/>
        <v>7</v>
      </c>
      <c r="L17" s="414"/>
      <c r="M17" s="276"/>
    </row>
    <row r="18" spans="1:14" x14ac:dyDescent="0.25">
      <c r="A18" s="4">
        <f t="shared" si="0"/>
        <v>8</v>
      </c>
      <c r="C18" s="4"/>
      <c r="E18" s="38"/>
      <c r="F18" s="41"/>
      <c r="G18" s="41"/>
      <c r="H18" s="41"/>
      <c r="I18" s="46"/>
      <c r="J18" s="4">
        <f t="shared" si="1"/>
        <v>8</v>
      </c>
    </row>
    <row r="19" spans="1:14" ht="16.5" thickBot="1" x14ac:dyDescent="0.3">
      <c r="A19" s="4">
        <f t="shared" si="0"/>
        <v>9</v>
      </c>
      <c r="B19" s="31" t="s">
        <v>836</v>
      </c>
      <c r="E19" s="48"/>
      <c r="F19" s="41"/>
      <c r="G19" s="77">
        <f>G13*G17</f>
        <v>32887.933929861982</v>
      </c>
      <c r="H19" s="71"/>
      <c r="I19" s="46" t="s">
        <v>837</v>
      </c>
      <c r="J19" s="4">
        <f t="shared" si="1"/>
        <v>9</v>
      </c>
    </row>
    <row r="20" spans="1:14" ht="16.5" thickTop="1" x14ac:dyDescent="0.25">
      <c r="A20" s="4">
        <f t="shared" si="0"/>
        <v>10</v>
      </c>
      <c r="E20" s="38"/>
      <c r="F20" s="41"/>
      <c r="G20" s="41"/>
      <c r="H20" s="41"/>
      <c r="I20" s="46"/>
      <c r="J20" s="4">
        <f t="shared" si="1"/>
        <v>10</v>
      </c>
    </row>
    <row r="21" spans="1:14" x14ac:dyDescent="0.25">
      <c r="A21" s="4">
        <f t="shared" si="0"/>
        <v>11</v>
      </c>
      <c r="B21" s="250" t="s">
        <v>838</v>
      </c>
      <c r="E21" s="38"/>
      <c r="F21" s="41"/>
      <c r="G21" s="41"/>
      <c r="H21" s="41"/>
      <c r="I21" s="46"/>
      <c r="J21" s="4">
        <f t="shared" si="1"/>
        <v>11</v>
      </c>
    </row>
    <row r="22" spans="1:14" x14ac:dyDescent="0.25">
      <c r="A22" s="4">
        <f t="shared" si="0"/>
        <v>12</v>
      </c>
      <c r="B22" s="31" t="s">
        <v>839</v>
      </c>
      <c r="E22" s="117">
        <f>'True-Up Stmt AH'!E19</f>
        <v>112286.79694999997</v>
      </c>
      <c r="F22" s="41"/>
      <c r="G22" s="48"/>
      <c r="H22" s="41"/>
      <c r="I22" s="46" t="s">
        <v>1749</v>
      </c>
      <c r="J22" s="4">
        <f t="shared" si="1"/>
        <v>12</v>
      </c>
    </row>
    <row r="23" spans="1:14" x14ac:dyDescent="0.25">
      <c r="A23" s="4">
        <f t="shared" si="0"/>
        <v>13</v>
      </c>
      <c r="B23" s="31" t="s">
        <v>840</v>
      </c>
      <c r="E23" s="21">
        <f>'True-Up Stmt AH'!E41</f>
        <v>106017.50664673123</v>
      </c>
      <c r="F23" s="1"/>
      <c r="G23" s="38"/>
      <c r="H23" s="41"/>
      <c r="I23" s="46" t="s">
        <v>1750</v>
      </c>
      <c r="J23" s="4">
        <f t="shared" si="1"/>
        <v>13</v>
      </c>
    </row>
    <row r="24" spans="1:14" x14ac:dyDescent="0.25">
      <c r="A24" s="4">
        <f t="shared" si="0"/>
        <v>14</v>
      </c>
      <c r="B24" s="31" t="s">
        <v>841</v>
      </c>
      <c r="E24" s="1195">
        <f>-'True-Up Stmt AH'!E26</f>
        <v>0</v>
      </c>
      <c r="F24" s="41"/>
      <c r="G24" s="38"/>
      <c r="H24" s="41"/>
      <c r="I24" s="46" t="s">
        <v>1751</v>
      </c>
      <c r="J24" s="4">
        <f t="shared" si="1"/>
        <v>14</v>
      </c>
      <c r="L24" s="414"/>
      <c r="M24" s="276"/>
      <c r="N24" s="276"/>
    </row>
    <row r="25" spans="1:14" x14ac:dyDescent="0.25">
      <c r="A25" s="4">
        <f t="shared" si="0"/>
        <v>15</v>
      </c>
      <c r="B25" s="31" t="s">
        <v>842</v>
      </c>
      <c r="E25" s="10">
        <f>SUM(E22:E24)</f>
        <v>218304.30359673122</v>
      </c>
      <c r="F25" s="1"/>
      <c r="G25" s="35"/>
      <c r="H25" s="46"/>
      <c r="I25" s="46" t="s">
        <v>843</v>
      </c>
      <c r="J25" s="4">
        <f t="shared" si="1"/>
        <v>15</v>
      </c>
    </row>
    <row r="26" spans="1:14" x14ac:dyDescent="0.25">
      <c r="A26" s="4">
        <f t="shared" si="0"/>
        <v>16</v>
      </c>
      <c r="F26" s="4"/>
      <c r="H26" s="4"/>
      <c r="I26" s="46"/>
      <c r="J26" s="4">
        <f t="shared" si="1"/>
        <v>16</v>
      </c>
    </row>
    <row r="27" spans="1:14" x14ac:dyDescent="0.25">
      <c r="A27" s="4">
        <f t="shared" si="0"/>
        <v>17</v>
      </c>
      <c r="B27" s="31" t="s">
        <v>844</v>
      </c>
      <c r="E27" s="913">
        <v>0.125</v>
      </c>
      <c r="F27" s="4"/>
      <c r="G27" s="47"/>
      <c r="H27" s="4"/>
      <c r="I27" s="46" t="s">
        <v>845</v>
      </c>
      <c r="J27" s="4">
        <f t="shared" si="1"/>
        <v>17</v>
      </c>
    </row>
    <row r="28" spans="1:14" x14ac:dyDescent="0.25">
      <c r="A28" s="4">
        <f t="shared" si="0"/>
        <v>18</v>
      </c>
      <c r="E28" s="70" t="s">
        <v>1</v>
      </c>
      <c r="F28" s="41"/>
      <c r="G28" s="70"/>
      <c r="H28" s="41"/>
      <c r="I28" s="46"/>
      <c r="J28" s="4">
        <f t="shared" si="1"/>
        <v>18</v>
      </c>
    </row>
    <row r="29" spans="1:14" ht="16.5" thickBot="1" x14ac:dyDescent="0.3">
      <c r="A29" s="4">
        <f t="shared" si="0"/>
        <v>19</v>
      </c>
      <c r="B29" s="31" t="s">
        <v>846</v>
      </c>
      <c r="E29" s="77">
        <f>E25*E27</f>
        <v>27288.037949591402</v>
      </c>
      <c r="F29" s="1"/>
      <c r="G29" s="75"/>
      <c r="H29" s="41"/>
      <c r="I29" s="4" t="s">
        <v>847</v>
      </c>
      <c r="J29" s="4">
        <f t="shared" si="1"/>
        <v>19</v>
      </c>
    </row>
    <row r="30" spans="1:14" ht="16.5" thickTop="1" x14ac:dyDescent="0.25">
      <c r="A30" s="4">
        <f t="shared" si="0"/>
        <v>20</v>
      </c>
      <c r="E30" s="75"/>
      <c r="F30" s="71"/>
      <c r="G30" s="75"/>
      <c r="H30" s="41"/>
      <c r="I30" s="4"/>
      <c r="J30" s="4">
        <f t="shared" si="1"/>
        <v>20</v>
      </c>
    </row>
    <row r="31" spans="1:14" x14ac:dyDescent="0.25">
      <c r="A31" s="4">
        <f t="shared" si="0"/>
        <v>21</v>
      </c>
      <c r="B31" s="250" t="s">
        <v>848</v>
      </c>
      <c r="E31" s="38"/>
      <c r="F31" s="41"/>
      <c r="G31" s="41"/>
      <c r="H31" s="41"/>
      <c r="I31" s="46"/>
      <c r="J31" s="4">
        <f t="shared" si="1"/>
        <v>21</v>
      </c>
    </row>
    <row r="32" spans="1:14" x14ac:dyDescent="0.25">
      <c r="A32" s="4">
        <f t="shared" si="0"/>
        <v>22</v>
      </c>
      <c r="B32" s="31" t="s">
        <v>841</v>
      </c>
      <c r="E32" s="48">
        <f>E24</f>
        <v>0</v>
      </c>
      <c r="F32" s="41"/>
      <c r="G32" s="48"/>
      <c r="H32" s="41"/>
      <c r="I32" s="46" t="s">
        <v>849</v>
      </c>
      <c r="J32" s="4">
        <f t="shared" si="1"/>
        <v>22</v>
      </c>
    </row>
    <row r="33" spans="1:10" x14ac:dyDescent="0.25">
      <c r="A33" s="4">
        <f t="shared" si="0"/>
        <v>23</v>
      </c>
      <c r="E33" s="113"/>
      <c r="F33" s="41"/>
      <c r="G33" s="48"/>
      <c r="H33" s="41"/>
      <c r="I33" s="46"/>
      <c r="J33" s="4">
        <f t="shared" si="1"/>
        <v>23</v>
      </c>
    </row>
    <row r="34" spans="1:10" x14ac:dyDescent="0.25">
      <c r="A34" s="4">
        <f t="shared" si="0"/>
        <v>24</v>
      </c>
      <c r="B34" s="31" t="s">
        <v>844</v>
      </c>
      <c r="E34" s="1038">
        <f>E27</f>
        <v>0.125</v>
      </c>
      <c r="F34" s="4"/>
      <c r="G34" s="47"/>
      <c r="H34" s="4"/>
      <c r="I34" s="46" t="s">
        <v>850</v>
      </c>
      <c r="J34" s="4">
        <f t="shared" si="1"/>
        <v>24</v>
      </c>
    </row>
    <row r="35" spans="1:10" x14ac:dyDescent="0.25">
      <c r="A35" s="4">
        <f t="shared" si="0"/>
        <v>25</v>
      </c>
      <c r="E35" s="47"/>
      <c r="F35" s="4"/>
      <c r="G35" s="47"/>
      <c r="H35" s="4"/>
      <c r="I35" s="46"/>
      <c r="J35" s="4">
        <f t="shared" si="1"/>
        <v>25</v>
      </c>
    </row>
    <row r="36" spans="1:10" x14ac:dyDescent="0.25">
      <c r="A36" s="4">
        <f t="shared" si="0"/>
        <v>26</v>
      </c>
      <c r="B36" s="31" t="s">
        <v>851</v>
      </c>
      <c r="E36" s="35">
        <f>E32*E34</f>
        <v>0</v>
      </c>
      <c r="F36" s="4"/>
      <c r="G36" s="47"/>
      <c r="H36" s="4"/>
      <c r="I36" s="4" t="s">
        <v>852</v>
      </c>
      <c r="J36" s="4">
        <f t="shared" si="1"/>
        <v>26</v>
      </c>
    </row>
    <row r="37" spans="1:10" x14ac:dyDescent="0.25">
      <c r="A37" s="4">
        <f t="shared" si="0"/>
        <v>27</v>
      </c>
      <c r="J37" s="4">
        <f t="shared" si="1"/>
        <v>27</v>
      </c>
    </row>
    <row r="38" spans="1:10" ht="18.75" x14ac:dyDescent="0.25">
      <c r="A38" s="4">
        <f t="shared" si="0"/>
        <v>28</v>
      </c>
      <c r="B38" s="32" t="s">
        <v>1745</v>
      </c>
      <c r="C38" s="4"/>
      <c r="E38" s="867">
        <f>'True-Up Stmt AV'!G148</f>
        <v>9.3745262708195276E-2</v>
      </c>
      <c r="F38" s="1"/>
      <c r="I38" s="4" t="s">
        <v>1525</v>
      </c>
      <c r="J38" s="4">
        <f t="shared" si="1"/>
        <v>28</v>
      </c>
    </row>
    <row r="39" spans="1:10" x14ac:dyDescent="0.25">
      <c r="A39" s="4">
        <f t="shared" si="0"/>
        <v>29</v>
      </c>
      <c r="C39" s="4"/>
      <c r="J39" s="4">
        <f t="shared" si="1"/>
        <v>29</v>
      </c>
    </row>
    <row r="40" spans="1:10" ht="19.5" thickBot="1" x14ac:dyDescent="0.3">
      <c r="A40" s="4">
        <f t="shared" si="0"/>
        <v>30</v>
      </c>
      <c r="B40" s="31" t="s">
        <v>1746</v>
      </c>
      <c r="C40" s="4"/>
      <c r="E40" s="77">
        <f>E36*E38</f>
        <v>0</v>
      </c>
      <c r="I40" s="4" t="s">
        <v>1620</v>
      </c>
      <c r="J40" s="4">
        <f t="shared" si="1"/>
        <v>30</v>
      </c>
    </row>
    <row r="41" spans="1:10" ht="16.5" thickTop="1" x14ac:dyDescent="0.25">
      <c r="A41" s="4">
        <f t="shared" si="0"/>
        <v>31</v>
      </c>
      <c r="C41" s="4"/>
      <c r="E41" s="75"/>
      <c r="I41" s="4"/>
      <c r="J41" s="4">
        <f t="shared" si="1"/>
        <v>31</v>
      </c>
    </row>
    <row r="42" spans="1:10" ht="18.75" x14ac:dyDescent="0.25">
      <c r="A42" s="4">
        <f t="shared" si="0"/>
        <v>32</v>
      </c>
      <c r="B42" s="32" t="s">
        <v>1747</v>
      </c>
      <c r="C42" s="4"/>
      <c r="E42" s="867">
        <f>'True-Up Stmt AV'!G182</f>
        <v>0</v>
      </c>
      <c r="I42" s="4" t="s">
        <v>1582</v>
      </c>
      <c r="J42" s="4">
        <f t="shared" si="1"/>
        <v>32</v>
      </c>
    </row>
    <row r="43" spans="1:10" x14ac:dyDescent="0.25">
      <c r="A43" s="4">
        <f t="shared" si="0"/>
        <v>33</v>
      </c>
      <c r="C43" s="4"/>
      <c r="E43" s="75"/>
      <c r="I43" s="4"/>
      <c r="J43" s="4">
        <f t="shared" si="1"/>
        <v>33</v>
      </c>
    </row>
    <row r="44" spans="1:10" ht="19.5" thickBot="1" x14ac:dyDescent="0.3">
      <c r="A44" s="4">
        <f t="shared" si="0"/>
        <v>34</v>
      </c>
      <c r="B44" s="31" t="s">
        <v>1748</v>
      </c>
      <c r="C44" s="4"/>
      <c r="E44" s="77">
        <f>E36*E42</f>
        <v>0</v>
      </c>
      <c r="I44" s="4" t="s">
        <v>1677</v>
      </c>
      <c r="J44" s="4">
        <f t="shared" si="1"/>
        <v>34</v>
      </c>
    </row>
    <row r="45" spans="1:10" ht="16.5" thickTop="1" x14ac:dyDescent="0.25">
      <c r="C45" s="4"/>
      <c r="E45" s="75"/>
      <c r="I45" s="4"/>
      <c r="J45" s="4"/>
    </row>
    <row r="46" spans="1:10" x14ac:dyDescent="0.25">
      <c r="C46" s="4"/>
    </row>
    <row r="47" spans="1:10" ht="18.75" x14ac:dyDescent="0.25">
      <c r="A47" s="252">
        <v>1</v>
      </c>
      <c r="B47" s="31" t="s">
        <v>853</v>
      </c>
      <c r="C47" s="4"/>
    </row>
    <row r="48" spans="1:10" ht="18.75" x14ac:dyDescent="0.25">
      <c r="A48" s="252">
        <v>2</v>
      </c>
      <c r="B48" s="31" t="s">
        <v>854</v>
      </c>
      <c r="C48" s="4"/>
    </row>
    <row r="49" spans="1:2" x14ac:dyDescent="0.25">
      <c r="A49" s="217"/>
      <c r="B49" s="1"/>
    </row>
  </sheetData>
  <mergeCells count="5">
    <mergeCell ref="B2:I2"/>
    <mergeCell ref="B3:I3"/>
    <mergeCell ref="B4:I4"/>
    <mergeCell ref="B5:I5"/>
    <mergeCell ref="B6:I6"/>
  </mergeCells>
  <printOptions horizontalCentered="1"/>
  <pageMargins left="0.25" right="0.25" top="0.5" bottom="0.5" header="0.25" footer="0.25"/>
  <pageSetup scale="52" orientation="portrait" r:id="rId1"/>
  <headerFooter scaleWithDoc="0" alignWithMargins="0">
    <oddFooter>&amp;C&amp;A</oddFooter>
  </headerFooter>
  <customProperties>
    <customPr name="_pios_id" r:id="rId2"/>
  </customPropertie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EF875-8C53-4280-AFED-7511E83DA685}">
  <dimension ref="A1:P271"/>
  <sheetViews>
    <sheetView zoomScale="80" zoomScaleNormal="80" workbookViewId="0">
      <selection activeCell="Q27" sqref="Q27"/>
    </sheetView>
  </sheetViews>
  <sheetFormatPr defaultColWidth="8.7109375" defaultRowHeight="15.75" x14ac:dyDescent="0.25"/>
  <cols>
    <col min="1" max="1" width="5.28515625" style="4" customWidth="1"/>
    <col min="2" max="2" width="55.42578125" style="31" customWidth="1"/>
    <col min="3" max="5" width="15.5703125" style="31" customWidth="1"/>
    <col min="6" max="6" width="1.5703125" style="31" customWidth="1"/>
    <col min="7" max="7" width="16.7109375" style="31" customWidth="1"/>
    <col min="8" max="8" width="1.5703125" style="31" customWidth="1"/>
    <col min="9" max="9" width="41.28515625" style="255" customWidth="1"/>
    <col min="10" max="10" width="5.28515625" style="31" customWidth="1"/>
    <col min="11" max="11" width="10.28515625" style="31" customWidth="1"/>
    <col min="12" max="12" width="15" style="31" customWidth="1"/>
    <col min="13" max="13" width="10.42578125" style="31" customWidth="1"/>
    <col min="14" max="16384" width="8.7109375" style="31"/>
  </cols>
  <sheetData>
    <row r="1" spans="1:12" x14ac:dyDescent="0.25">
      <c r="A1" s="217"/>
      <c r="G1" s="70"/>
      <c r="H1" s="70"/>
      <c r="I1" s="420"/>
      <c r="J1" s="4"/>
      <c r="L1" s="276"/>
    </row>
    <row r="2" spans="1:12" x14ac:dyDescent="0.25">
      <c r="B2" s="1316" t="s">
        <v>0</v>
      </c>
      <c r="C2" s="1316"/>
      <c r="D2" s="1316"/>
      <c r="E2" s="1316"/>
      <c r="F2" s="1316"/>
      <c r="G2" s="1316"/>
      <c r="H2" s="1316"/>
      <c r="I2" s="1316"/>
      <c r="J2" s="4"/>
    </row>
    <row r="3" spans="1:12" x14ac:dyDescent="0.25">
      <c r="B3" s="1316" t="s">
        <v>1335</v>
      </c>
      <c r="C3" s="1316"/>
      <c r="D3" s="1316"/>
      <c r="E3" s="1316"/>
      <c r="F3" s="1316"/>
      <c r="G3" s="1316"/>
      <c r="H3" s="1316"/>
      <c r="I3" s="1316"/>
      <c r="J3" s="4"/>
    </row>
    <row r="4" spans="1:12" x14ac:dyDescent="0.25">
      <c r="B4" s="1316" t="s">
        <v>985</v>
      </c>
      <c r="C4" s="1316"/>
      <c r="D4" s="1316"/>
      <c r="E4" s="1316"/>
      <c r="F4" s="1316"/>
      <c r="G4" s="1316"/>
      <c r="H4" s="1316"/>
      <c r="I4" s="1316"/>
      <c r="J4" s="4"/>
    </row>
    <row r="5" spans="1:12" x14ac:dyDescent="0.25">
      <c r="B5" s="1318" t="str">
        <f>'Stmt AD'!B5</f>
        <v>Base Period &amp; True-Up Period 12 - Months Ending December 31, 2025</v>
      </c>
      <c r="C5" s="1318"/>
      <c r="D5" s="1318"/>
      <c r="E5" s="1318"/>
      <c r="F5" s="1318"/>
      <c r="G5" s="1318"/>
      <c r="H5" s="1318"/>
      <c r="I5" s="1318"/>
      <c r="J5" s="4"/>
    </row>
    <row r="6" spans="1:12" x14ac:dyDescent="0.25">
      <c r="B6" s="1312" t="s">
        <v>4</v>
      </c>
      <c r="C6" s="1313"/>
      <c r="D6" s="1313"/>
      <c r="E6" s="1313"/>
      <c r="F6" s="1313"/>
      <c r="G6" s="1313"/>
      <c r="H6" s="1313"/>
      <c r="I6" s="1313"/>
      <c r="J6" s="4"/>
    </row>
    <row r="7" spans="1:12" x14ac:dyDescent="0.25">
      <c r="B7" s="4"/>
      <c r="C7" s="4"/>
      <c r="D7" s="4"/>
      <c r="E7" s="4"/>
      <c r="F7" s="4"/>
      <c r="G7" s="4"/>
      <c r="H7" s="4"/>
      <c r="I7" s="90"/>
      <c r="J7" s="4"/>
    </row>
    <row r="8" spans="1:12" x14ac:dyDescent="0.25">
      <c r="A8" s="4" t="s">
        <v>5</v>
      </c>
      <c r="B8" s="217"/>
      <c r="C8" s="217"/>
      <c r="D8" s="217"/>
      <c r="E8" s="4" t="s">
        <v>210</v>
      </c>
      <c r="F8" s="217"/>
      <c r="G8" s="217"/>
      <c r="H8" s="217"/>
      <c r="I8" s="90"/>
      <c r="J8" s="4" t="s">
        <v>5</v>
      </c>
    </row>
    <row r="9" spans="1:12" x14ac:dyDescent="0.25">
      <c r="A9" s="4" t="s">
        <v>6</v>
      </c>
      <c r="B9" s="4"/>
      <c r="C9" s="4"/>
      <c r="D9" s="4"/>
      <c r="E9" s="848" t="s">
        <v>212</v>
      </c>
      <c r="F9" s="4"/>
      <c r="G9" s="849" t="s">
        <v>7</v>
      </c>
      <c r="H9" s="217"/>
      <c r="I9" s="850" t="s">
        <v>8</v>
      </c>
      <c r="J9" s="4" t="s">
        <v>6</v>
      </c>
    </row>
    <row r="10" spans="1:12" x14ac:dyDescent="0.25">
      <c r="B10" s="4"/>
      <c r="C10" s="4"/>
      <c r="D10" s="4"/>
      <c r="E10" s="4"/>
      <c r="F10" s="4"/>
      <c r="G10" s="4"/>
      <c r="H10" s="4"/>
      <c r="I10" s="90"/>
      <c r="J10" s="4"/>
      <c r="L10" s="276"/>
    </row>
    <row r="11" spans="1:12" x14ac:dyDescent="0.25">
      <c r="A11" s="4">
        <v>1</v>
      </c>
      <c r="B11" s="250" t="s">
        <v>986</v>
      </c>
      <c r="H11" s="217"/>
      <c r="I11" s="90"/>
      <c r="J11" s="4">
        <f>A11</f>
        <v>1</v>
      </c>
      <c r="L11" s="276"/>
    </row>
    <row r="12" spans="1:12" x14ac:dyDescent="0.25">
      <c r="A12" s="4">
        <f>A11+1</f>
        <v>2</v>
      </c>
      <c r="B12" s="31" t="s">
        <v>987</v>
      </c>
      <c r="E12" s="4" t="s">
        <v>988</v>
      </c>
      <c r="F12" s="5"/>
      <c r="G12" s="40">
        <v>9800000</v>
      </c>
      <c r="H12" s="217"/>
      <c r="I12" s="444"/>
      <c r="J12" s="4">
        <f>J11+1</f>
        <v>2</v>
      </c>
    </row>
    <row r="13" spans="1:12" x14ac:dyDescent="0.25">
      <c r="A13" s="4">
        <f t="shared" ref="A13:A52" si="0">A12+1</f>
        <v>3</v>
      </c>
      <c r="B13" s="31" t="s">
        <v>989</v>
      </c>
      <c r="E13" s="4" t="s">
        <v>990</v>
      </c>
      <c r="F13" s="5"/>
      <c r="G13" s="42">
        <v>0</v>
      </c>
      <c r="H13" s="217"/>
      <c r="I13" s="444"/>
      <c r="J13" s="4">
        <f t="shared" ref="J13:J52" si="1">J12+1</f>
        <v>3</v>
      </c>
    </row>
    <row r="14" spans="1:12" x14ac:dyDescent="0.25">
      <c r="A14" s="4">
        <f t="shared" si="0"/>
        <v>4</v>
      </c>
      <c r="B14" s="31" t="s">
        <v>991</v>
      </c>
      <c r="E14" s="4" t="s">
        <v>992</v>
      </c>
      <c r="F14" s="5"/>
      <c r="G14" s="42">
        <v>0</v>
      </c>
      <c r="H14" s="217"/>
      <c r="I14" s="444"/>
      <c r="J14" s="4">
        <f t="shared" si="1"/>
        <v>4</v>
      </c>
    </row>
    <row r="15" spans="1:12" x14ac:dyDescent="0.25">
      <c r="A15" s="4">
        <f t="shared" si="0"/>
        <v>5</v>
      </c>
      <c r="B15" s="31" t="s">
        <v>993</v>
      </c>
      <c r="E15" s="4" t="s">
        <v>994</v>
      </c>
      <c r="F15" s="5"/>
      <c r="G15" s="42">
        <v>0</v>
      </c>
      <c r="H15" s="217"/>
      <c r="I15" s="444"/>
      <c r="J15" s="4">
        <f t="shared" si="1"/>
        <v>5</v>
      </c>
    </row>
    <row r="16" spans="1:12" x14ac:dyDescent="0.25">
      <c r="A16" s="4">
        <f t="shared" si="0"/>
        <v>6</v>
      </c>
      <c r="B16" s="31" t="s">
        <v>995</v>
      </c>
      <c r="E16" s="4" t="s">
        <v>996</v>
      </c>
      <c r="F16" s="5"/>
      <c r="G16" s="905">
        <v>-33062.921999999999</v>
      </c>
      <c r="H16" s="217"/>
      <c r="I16" s="444"/>
      <c r="J16" s="4">
        <f t="shared" si="1"/>
        <v>6</v>
      </c>
    </row>
    <row r="17" spans="1:10" x14ac:dyDescent="0.25">
      <c r="A17" s="4">
        <f t="shared" si="0"/>
        <v>7</v>
      </c>
      <c r="B17" s="31" t="s">
        <v>1336</v>
      </c>
      <c r="G17" s="1110">
        <f>SUM(G12:G16)</f>
        <v>9766937.0779999997</v>
      </c>
      <c r="H17" s="35"/>
      <c r="I17" s="90" t="s">
        <v>425</v>
      </c>
      <c r="J17" s="4">
        <f t="shared" si="1"/>
        <v>7</v>
      </c>
    </row>
    <row r="18" spans="1:10" x14ac:dyDescent="0.25">
      <c r="A18" s="4">
        <f t="shared" si="0"/>
        <v>8</v>
      </c>
      <c r="I18" s="90"/>
      <c r="J18" s="4">
        <f t="shared" si="1"/>
        <v>8</v>
      </c>
    </row>
    <row r="19" spans="1:10" x14ac:dyDescent="0.25">
      <c r="A19" s="4">
        <f t="shared" si="0"/>
        <v>9</v>
      </c>
      <c r="B19" s="250" t="s">
        <v>997</v>
      </c>
      <c r="G19" s="6"/>
      <c r="H19" s="217"/>
      <c r="I19" s="90"/>
      <c r="J19" s="4">
        <f t="shared" si="1"/>
        <v>9</v>
      </c>
    </row>
    <row r="20" spans="1:10" x14ac:dyDescent="0.25">
      <c r="A20" s="4">
        <f t="shared" si="0"/>
        <v>10</v>
      </c>
      <c r="B20" s="31" t="s">
        <v>998</v>
      </c>
      <c r="E20" s="4" t="s">
        <v>999</v>
      </c>
      <c r="F20" s="5"/>
      <c r="G20" s="40">
        <v>401800</v>
      </c>
      <c r="H20" s="217"/>
      <c r="I20" s="462"/>
      <c r="J20" s="4">
        <f t="shared" si="1"/>
        <v>10</v>
      </c>
    </row>
    <row r="21" spans="1:10" x14ac:dyDescent="0.25">
      <c r="A21" s="4">
        <f t="shared" si="0"/>
        <v>11</v>
      </c>
      <c r="B21" s="31" t="s">
        <v>1000</v>
      </c>
      <c r="E21" s="4" t="s">
        <v>1001</v>
      </c>
      <c r="F21" s="5"/>
      <c r="G21" s="42">
        <v>7946.9970000000003</v>
      </c>
      <c r="H21" s="217"/>
      <c r="I21" s="462"/>
      <c r="J21" s="4">
        <f t="shared" si="1"/>
        <v>11</v>
      </c>
    </row>
    <row r="22" spans="1:10" x14ac:dyDescent="0.25">
      <c r="A22" s="4">
        <f t="shared" si="0"/>
        <v>12</v>
      </c>
      <c r="B22" s="31" t="s">
        <v>1002</v>
      </c>
      <c r="E22" s="4" t="s">
        <v>1003</v>
      </c>
      <c r="F22" s="5"/>
      <c r="G22" s="42">
        <v>672.17100000000005</v>
      </c>
      <c r="H22" s="217"/>
      <c r="I22" s="462"/>
      <c r="J22" s="4">
        <f t="shared" si="1"/>
        <v>12</v>
      </c>
    </row>
    <row r="23" spans="1:10" x14ac:dyDescent="0.25">
      <c r="A23" s="4">
        <f t="shared" si="0"/>
        <v>13</v>
      </c>
      <c r="B23" s="31" t="s">
        <v>1004</v>
      </c>
      <c r="E23" s="4" t="s">
        <v>1005</v>
      </c>
      <c r="F23" s="5"/>
      <c r="G23" s="42">
        <v>0</v>
      </c>
      <c r="H23" s="217"/>
      <c r="I23" s="462"/>
      <c r="J23" s="4">
        <f t="shared" si="1"/>
        <v>13</v>
      </c>
    </row>
    <row r="24" spans="1:10" x14ac:dyDescent="0.25">
      <c r="A24" s="4">
        <f t="shared" si="0"/>
        <v>14</v>
      </c>
      <c r="B24" s="31" t="s">
        <v>1006</v>
      </c>
      <c r="E24" s="4" t="s">
        <v>1007</v>
      </c>
      <c r="F24" s="5"/>
      <c r="G24" s="905">
        <v>0</v>
      </c>
      <c r="H24" s="217"/>
      <c r="I24" s="462"/>
      <c r="J24" s="4">
        <f t="shared" si="1"/>
        <v>14</v>
      </c>
    </row>
    <row r="25" spans="1:10" x14ac:dyDescent="0.25">
      <c r="A25" s="4">
        <f t="shared" si="0"/>
        <v>15</v>
      </c>
      <c r="B25" s="31" t="s">
        <v>1337</v>
      </c>
      <c r="G25" s="1051">
        <f>SUM(G20:G24)</f>
        <v>410419.16799999995</v>
      </c>
      <c r="H25" s="48"/>
      <c r="I25" s="90" t="s">
        <v>1009</v>
      </c>
      <c r="J25" s="4">
        <f t="shared" si="1"/>
        <v>15</v>
      </c>
    </row>
    <row r="26" spans="1:10" x14ac:dyDescent="0.25">
      <c r="A26" s="4">
        <f t="shared" si="0"/>
        <v>16</v>
      </c>
      <c r="I26" s="90"/>
      <c r="J26" s="4">
        <f t="shared" si="1"/>
        <v>16</v>
      </c>
    </row>
    <row r="27" spans="1:10" ht="16.5" thickBot="1" x14ac:dyDescent="0.3">
      <c r="A27" s="4">
        <f t="shared" si="0"/>
        <v>17</v>
      </c>
      <c r="B27" s="250" t="s">
        <v>1010</v>
      </c>
      <c r="G27" s="51">
        <f>IFERROR(G25/G17,0)</f>
        <v>4.2021276959433682E-2</v>
      </c>
      <c r="H27" s="27"/>
      <c r="I27" s="90" t="s">
        <v>1011</v>
      </c>
      <c r="J27" s="4">
        <f t="shared" si="1"/>
        <v>17</v>
      </c>
    </row>
    <row r="28" spans="1:10" ht="16.5" thickTop="1" x14ac:dyDescent="0.25">
      <c r="A28" s="4">
        <f t="shared" si="0"/>
        <v>18</v>
      </c>
      <c r="I28" s="90"/>
      <c r="J28" s="4">
        <f t="shared" si="1"/>
        <v>18</v>
      </c>
    </row>
    <row r="29" spans="1:10" x14ac:dyDescent="0.25">
      <c r="A29" s="4">
        <f t="shared" si="0"/>
        <v>19</v>
      </c>
      <c r="B29" s="250" t="s">
        <v>1012</v>
      </c>
      <c r="I29" s="90"/>
      <c r="J29" s="4">
        <f t="shared" si="1"/>
        <v>19</v>
      </c>
    </row>
    <row r="30" spans="1:10" x14ac:dyDescent="0.25">
      <c r="A30" s="4">
        <f t="shared" si="0"/>
        <v>20</v>
      </c>
      <c r="B30" s="31" t="s">
        <v>1013</v>
      </c>
      <c r="E30" s="4" t="s">
        <v>1014</v>
      </c>
      <c r="F30" s="5"/>
      <c r="G30" s="40">
        <v>0</v>
      </c>
      <c r="H30" s="217"/>
      <c r="I30" s="462"/>
      <c r="J30" s="4">
        <f t="shared" si="1"/>
        <v>20</v>
      </c>
    </row>
    <row r="31" spans="1:10" x14ac:dyDescent="0.25">
      <c r="A31" s="4">
        <f t="shared" si="0"/>
        <v>21</v>
      </c>
      <c r="B31" s="31" t="s">
        <v>1015</v>
      </c>
      <c r="E31" s="4" t="s">
        <v>1016</v>
      </c>
      <c r="F31" s="5"/>
      <c r="G31" s="40">
        <v>0</v>
      </c>
      <c r="H31" s="217"/>
      <c r="I31" s="462"/>
      <c r="J31" s="4">
        <f t="shared" si="1"/>
        <v>21</v>
      </c>
    </row>
    <row r="32" spans="1:10" ht="16.5" thickBot="1" x14ac:dyDescent="0.3">
      <c r="A32" s="4">
        <f t="shared" si="0"/>
        <v>22</v>
      </c>
      <c r="B32" s="31" t="s">
        <v>1338</v>
      </c>
      <c r="G32" s="51">
        <f>IFERROR((G31/G30),0)</f>
        <v>0</v>
      </c>
      <c r="H32" s="27"/>
      <c r="I32" s="90" t="s">
        <v>1017</v>
      </c>
      <c r="J32" s="4">
        <f t="shared" si="1"/>
        <v>22</v>
      </c>
    </row>
    <row r="33" spans="1:16" ht="16.5" thickTop="1" x14ac:dyDescent="0.25">
      <c r="A33" s="4">
        <f t="shared" si="0"/>
        <v>23</v>
      </c>
      <c r="I33" s="90"/>
      <c r="J33" s="4">
        <f t="shared" si="1"/>
        <v>23</v>
      </c>
    </row>
    <row r="34" spans="1:16" x14ac:dyDescent="0.25">
      <c r="A34" s="4">
        <f t="shared" si="0"/>
        <v>24</v>
      </c>
      <c r="B34" s="250" t="s">
        <v>1018</v>
      </c>
      <c r="I34" s="90"/>
      <c r="J34" s="4">
        <f t="shared" si="1"/>
        <v>24</v>
      </c>
    </row>
    <row r="35" spans="1:16" x14ac:dyDescent="0.25">
      <c r="A35" s="4">
        <f t="shared" si="0"/>
        <v>25</v>
      </c>
      <c r="B35" s="31" t="s">
        <v>1019</v>
      </c>
      <c r="E35" s="4" t="s">
        <v>1020</v>
      </c>
      <c r="F35" s="5"/>
      <c r="G35" s="40">
        <v>10932550.646</v>
      </c>
      <c r="H35" s="217"/>
      <c r="I35" s="462"/>
      <c r="J35" s="4">
        <f t="shared" si="1"/>
        <v>25</v>
      </c>
    </row>
    <row r="36" spans="1:16" x14ac:dyDescent="0.25">
      <c r="A36" s="4">
        <f t="shared" si="0"/>
        <v>26</v>
      </c>
      <c r="B36" s="31" t="s">
        <v>1021</v>
      </c>
      <c r="E36" s="4" t="s">
        <v>1014</v>
      </c>
      <c r="G36" s="38">
        <f>G30</f>
        <v>0</v>
      </c>
      <c r="H36" s="38"/>
      <c r="I36" s="90" t="s">
        <v>1022</v>
      </c>
      <c r="J36" s="4">
        <f t="shared" si="1"/>
        <v>26</v>
      </c>
    </row>
    <row r="37" spans="1:16" x14ac:dyDescent="0.25">
      <c r="A37" s="4">
        <f t="shared" si="0"/>
        <v>27</v>
      </c>
      <c r="B37" s="31" t="s">
        <v>1023</v>
      </c>
      <c r="E37" s="4" t="s">
        <v>1024</v>
      </c>
      <c r="G37" s="42">
        <v>0</v>
      </c>
      <c r="H37" s="217"/>
      <c r="I37" s="462"/>
      <c r="J37" s="4">
        <f t="shared" si="1"/>
        <v>27</v>
      </c>
    </row>
    <row r="38" spans="1:16" x14ac:dyDescent="0.25">
      <c r="A38" s="4">
        <f t="shared" si="0"/>
        <v>28</v>
      </c>
      <c r="B38" s="31" t="s">
        <v>1025</v>
      </c>
      <c r="E38" s="4" t="s">
        <v>1026</v>
      </c>
      <c r="G38" s="42">
        <v>6285.0789999999997</v>
      </c>
      <c r="H38" s="217"/>
      <c r="I38" s="462"/>
      <c r="J38" s="4">
        <f t="shared" si="1"/>
        <v>28</v>
      </c>
    </row>
    <row r="39" spans="1:16" ht="16.5" thickBot="1" x14ac:dyDescent="0.3">
      <c r="A39" s="4">
        <f t="shared" si="0"/>
        <v>29</v>
      </c>
      <c r="B39" s="31" t="s">
        <v>1339</v>
      </c>
      <c r="G39" s="95">
        <f>SUM(G35:G38)</f>
        <v>10938835.725</v>
      </c>
      <c r="H39" s="35"/>
      <c r="I39" s="90" t="s">
        <v>1692</v>
      </c>
      <c r="J39" s="4">
        <f t="shared" si="1"/>
        <v>29</v>
      </c>
    </row>
    <row r="40" spans="1:16" ht="17.25" thickTop="1" thickBot="1" x14ac:dyDescent="0.3">
      <c r="A40" s="861">
        <f t="shared" si="0"/>
        <v>30</v>
      </c>
      <c r="B40" s="862"/>
      <c r="C40" s="862"/>
      <c r="D40" s="862"/>
      <c r="E40" s="862"/>
      <c r="F40" s="862"/>
      <c r="G40" s="862"/>
      <c r="H40" s="862"/>
      <c r="I40" s="863"/>
      <c r="J40" s="861">
        <f t="shared" si="1"/>
        <v>30</v>
      </c>
    </row>
    <row r="41" spans="1:16" x14ac:dyDescent="0.25">
      <c r="A41" s="4">
        <f>A40+1</f>
        <v>31</v>
      </c>
      <c r="I41" s="90"/>
      <c r="J41" s="4">
        <f>J40+1</f>
        <v>31</v>
      </c>
    </row>
    <row r="42" spans="1:16" ht="16.5" thickBot="1" x14ac:dyDescent="0.3">
      <c r="A42" s="4">
        <f>A41+1</f>
        <v>32</v>
      </c>
      <c r="B42" s="250" t="s">
        <v>1340</v>
      </c>
      <c r="G42" s="131">
        <v>0.10100000000000001</v>
      </c>
      <c r="H42" s="217"/>
      <c r="I42" s="90" t="s">
        <v>1528</v>
      </c>
      <c r="J42" s="4">
        <f>J41+1</f>
        <v>32</v>
      </c>
      <c r="P42" s="276"/>
    </row>
    <row r="43" spans="1:16" ht="16.5" thickTop="1" x14ac:dyDescent="0.25">
      <c r="A43" s="4">
        <f t="shared" si="0"/>
        <v>33</v>
      </c>
      <c r="C43" s="34" t="s">
        <v>187</v>
      </c>
      <c r="D43" s="34" t="s">
        <v>188</v>
      </c>
      <c r="E43" s="34" t="s">
        <v>189</v>
      </c>
      <c r="F43" s="34"/>
      <c r="G43" s="34" t="s">
        <v>1027</v>
      </c>
      <c r="H43" s="34"/>
      <c r="I43" s="90"/>
      <c r="J43" s="4">
        <f t="shared" si="1"/>
        <v>33</v>
      </c>
    </row>
    <row r="44" spans="1:16" x14ac:dyDescent="0.25">
      <c r="A44" s="4">
        <f t="shared" si="0"/>
        <v>34</v>
      </c>
      <c r="D44" s="4" t="s">
        <v>1028</v>
      </c>
      <c r="E44" s="4" t="s">
        <v>1029</v>
      </c>
      <c r="F44" s="4"/>
      <c r="G44" s="4" t="s">
        <v>1030</v>
      </c>
      <c r="H44" s="4"/>
      <c r="I44" s="90"/>
      <c r="J44" s="4">
        <f t="shared" si="1"/>
        <v>34</v>
      </c>
    </row>
    <row r="45" spans="1:16" ht="18.75" x14ac:dyDescent="0.25">
      <c r="A45" s="4">
        <f t="shared" si="0"/>
        <v>35</v>
      </c>
      <c r="B45" s="250" t="s">
        <v>1031</v>
      </c>
      <c r="C45" s="848" t="s">
        <v>1032</v>
      </c>
      <c r="D45" s="848" t="s">
        <v>1033</v>
      </c>
      <c r="E45" s="848" t="s">
        <v>1034</v>
      </c>
      <c r="F45" s="848"/>
      <c r="G45" s="848" t="s">
        <v>1035</v>
      </c>
      <c r="H45" s="4"/>
      <c r="I45" s="90"/>
      <c r="J45" s="4">
        <f t="shared" si="1"/>
        <v>35</v>
      </c>
    </row>
    <row r="46" spans="1:16" x14ac:dyDescent="0.25">
      <c r="A46" s="4">
        <f t="shared" si="0"/>
        <v>36</v>
      </c>
      <c r="I46" s="90"/>
      <c r="J46" s="4">
        <f t="shared" si="1"/>
        <v>36</v>
      </c>
    </row>
    <row r="47" spans="1:16" x14ac:dyDescent="0.25">
      <c r="A47" s="4">
        <f t="shared" si="0"/>
        <v>37</v>
      </c>
      <c r="B47" s="31" t="s">
        <v>1036</v>
      </c>
      <c r="C47" s="35">
        <f>G17</f>
        <v>9766937.0779999997</v>
      </c>
      <c r="D47" s="27">
        <f>IFERROR(C47/C$50,0)</f>
        <v>0.47170116135848339</v>
      </c>
      <c r="E47" s="132">
        <f>G27</f>
        <v>4.2021276959433682E-2</v>
      </c>
      <c r="G47" s="27">
        <f>D47*E47</f>
        <v>1.9821485143531346E-2</v>
      </c>
      <c r="H47" s="27"/>
      <c r="I47" s="90" t="s">
        <v>1037</v>
      </c>
      <c r="J47" s="4">
        <f t="shared" si="1"/>
        <v>37</v>
      </c>
    </row>
    <row r="48" spans="1:16" x14ac:dyDescent="0.25">
      <c r="A48" s="4">
        <f t="shared" si="0"/>
        <v>38</v>
      </c>
      <c r="B48" s="31" t="s">
        <v>1038</v>
      </c>
      <c r="C48" s="6">
        <f>G30</f>
        <v>0</v>
      </c>
      <c r="D48" s="27">
        <f>IFERROR(C48/C$50,0)</f>
        <v>0</v>
      </c>
      <c r="E48" s="132">
        <f>G32</f>
        <v>0</v>
      </c>
      <c r="G48" s="27">
        <f>D48*E48</f>
        <v>0</v>
      </c>
      <c r="H48" s="27"/>
      <c r="I48" s="90" t="s">
        <v>1039</v>
      </c>
      <c r="J48" s="4">
        <f t="shared" si="1"/>
        <v>38</v>
      </c>
    </row>
    <row r="49" spans="1:10" x14ac:dyDescent="0.25">
      <c r="A49" s="4">
        <f t="shared" si="0"/>
        <v>39</v>
      </c>
      <c r="B49" s="31" t="s">
        <v>1040</v>
      </c>
      <c r="C49" s="6">
        <f>G39</f>
        <v>10938835.725</v>
      </c>
      <c r="D49" s="1052">
        <f>IFERROR(C49/C$50,0)</f>
        <v>0.52829883864151661</v>
      </c>
      <c r="E49" s="1183">
        <f>G42</f>
        <v>0.10100000000000001</v>
      </c>
      <c r="G49" s="1052">
        <f>D49*E49</f>
        <v>5.3358182702793182E-2</v>
      </c>
      <c r="H49" s="27"/>
      <c r="I49" s="90" t="s">
        <v>1041</v>
      </c>
      <c r="J49" s="4">
        <f t="shared" si="1"/>
        <v>39</v>
      </c>
    </row>
    <row r="50" spans="1:10" ht="16.5" thickBot="1" x14ac:dyDescent="0.3">
      <c r="A50" s="4">
        <f t="shared" si="0"/>
        <v>40</v>
      </c>
      <c r="B50" s="31" t="s">
        <v>1341</v>
      </c>
      <c r="C50" s="95">
        <f>SUM(C47:C49)</f>
        <v>20705772.802999999</v>
      </c>
      <c r="D50" s="51">
        <f>SUM(D47:D49)</f>
        <v>1</v>
      </c>
      <c r="G50" s="51">
        <f>SUM(G47:G49)</f>
        <v>7.3179667846324528E-2</v>
      </c>
      <c r="H50" s="27"/>
      <c r="I50" s="90" t="s">
        <v>1043</v>
      </c>
      <c r="J50" s="4">
        <f t="shared" si="1"/>
        <v>40</v>
      </c>
    </row>
    <row r="51" spans="1:10" ht="16.5" thickTop="1" x14ac:dyDescent="0.25">
      <c r="A51" s="4">
        <f t="shared" si="0"/>
        <v>41</v>
      </c>
      <c r="I51" s="90"/>
      <c r="J51" s="4">
        <f t="shared" si="1"/>
        <v>41</v>
      </c>
    </row>
    <row r="52" spans="1:10" ht="16.5" thickBot="1" x14ac:dyDescent="0.3">
      <c r="A52" s="4">
        <f t="shared" si="0"/>
        <v>42</v>
      </c>
      <c r="B52" s="250" t="s">
        <v>1529</v>
      </c>
      <c r="G52" s="51">
        <f>G48+G49</f>
        <v>5.3358182702793182E-2</v>
      </c>
      <c r="H52" s="27"/>
      <c r="I52" s="90" t="s">
        <v>1044</v>
      </c>
      <c r="J52" s="4">
        <f t="shared" si="1"/>
        <v>42</v>
      </c>
    </row>
    <row r="53" spans="1:10" ht="17.25" thickTop="1" thickBot="1" x14ac:dyDescent="0.3">
      <c r="A53" s="861">
        <f>A52+1</f>
        <v>43</v>
      </c>
      <c r="B53" s="862"/>
      <c r="C53" s="862"/>
      <c r="D53" s="862"/>
      <c r="E53" s="862"/>
      <c r="F53" s="862"/>
      <c r="G53" s="862"/>
      <c r="H53" s="862"/>
      <c r="I53" s="863"/>
      <c r="J53" s="861">
        <f>J52+1</f>
        <v>43</v>
      </c>
    </row>
    <row r="54" spans="1:10" x14ac:dyDescent="0.25">
      <c r="A54" s="4">
        <f>A53+1</f>
        <v>44</v>
      </c>
      <c r="I54" s="90"/>
      <c r="J54" s="4">
        <f>J53+1</f>
        <v>44</v>
      </c>
    </row>
    <row r="55" spans="1:10" ht="19.5" thickBot="1" x14ac:dyDescent="0.3">
      <c r="A55" s="4">
        <f t="shared" ref="A55:A65" si="2">A54+1</f>
        <v>45</v>
      </c>
      <c r="B55" s="250" t="s">
        <v>2124</v>
      </c>
      <c r="G55" s="131">
        <v>0</v>
      </c>
      <c r="H55" s="217"/>
      <c r="I55" s="420" t="s">
        <v>1528</v>
      </c>
      <c r="J55" s="4">
        <f t="shared" ref="J55:J65" si="3">J54+1</f>
        <v>45</v>
      </c>
    </row>
    <row r="56" spans="1:10" ht="16.5" thickTop="1" x14ac:dyDescent="0.25">
      <c r="A56" s="4">
        <f t="shared" si="2"/>
        <v>46</v>
      </c>
      <c r="C56" s="34" t="s">
        <v>187</v>
      </c>
      <c r="D56" s="34" t="s">
        <v>188</v>
      </c>
      <c r="E56" s="34" t="s">
        <v>189</v>
      </c>
      <c r="F56" s="34"/>
      <c r="G56" s="34" t="s">
        <v>1027</v>
      </c>
      <c r="H56" s="34"/>
      <c r="I56" s="90"/>
      <c r="J56" s="4">
        <f t="shared" si="3"/>
        <v>46</v>
      </c>
    </row>
    <row r="57" spans="1:10" x14ac:dyDescent="0.25">
      <c r="A57" s="4">
        <f t="shared" si="2"/>
        <v>47</v>
      </c>
      <c r="D57" s="4" t="s">
        <v>1028</v>
      </c>
      <c r="E57" s="4" t="s">
        <v>1029</v>
      </c>
      <c r="F57" s="4"/>
      <c r="G57" s="4" t="s">
        <v>1030</v>
      </c>
      <c r="H57" s="4"/>
      <c r="I57" s="90"/>
      <c r="J57" s="4">
        <f t="shared" si="3"/>
        <v>47</v>
      </c>
    </row>
    <row r="58" spans="1:10" ht="18.75" x14ac:dyDescent="0.25">
      <c r="A58" s="4">
        <f t="shared" si="2"/>
        <v>48</v>
      </c>
      <c r="B58" s="250" t="s">
        <v>1031</v>
      </c>
      <c r="C58" s="848" t="s">
        <v>1032</v>
      </c>
      <c r="D58" s="848" t="s">
        <v>1033</v>
      </c>
      <c r="E58" s="848" t="s">
        <v>1034</v>
      </c>
      <c r="F58" s="848"/>
      <c r="G58" s="848" t="s">
        <v>1035</v>
      </c>
      <c r="H58" s="4"/>
      <c r="I58" s="90"/>
      <c r="J58" s="4">
        <f t="shared" si="3"/>
        <v>48</v>
      </c>
    </row>
    <row r="59" spans="1:10" x14ac:dyDescent="0.25">
      <c r="A59" s="4">
        <f t="shared" si="2"/>
        <v>49</v>
      </c>
      <c r="I59" s="90"/>
      <c r="J59" s="4">
        <f t="shared" si="3"/>
        <v>49</v>
      </c>
    </row>
    <row r="60" spans="1:10" x14ac:dyDescent="0.25">
      <c r="A60" s="4">
        <f t="shared" si="2"/>
        <v>50</v>
      </c>
      <c r="B60" s="31" t="s">
        <v>1036</v>
      </c>
      <c r="C60" s="35">
        <f>G17</f>
        <v>9766937.0779999997</v>
      </c>
      <c r="D60" s="27">
        <f>IFERROR(C60/C$50,0)</f>
        <v>0.47170116135848339</v>
      </c>
      <c r="E60" s="1119">
        <v>0</v>
      </c>
      <c r="G60" s="27">
        <f>D60*E60</f>
        <v>0</v>
      </c>
      <c r="H60" s="27"/>
      <c r="I60" s="90" t="s">
        <v>1530</v>
      </c>
      <c r="J60" s="4">
        <f t="shared" si="3"/>
        <v>50</v>
      </c>
    </row>
    <row r="61" spans="1:10" x14ac:dyDescent="0.25">
      <c r="A61" s="4">
        <f t="shared" si="2"/>
        <v>51</v>
      </c>
      <c r="B61" s="31" t="s">
        <v>1038</v>
      </c>
      <c r="C61" s="6">
        <f>G30</f>
        <v>0</v>
      </c>
      <c r="D61" s="27">
        <f>IFERROR(C61/C$50,0)</f>
        <v>0</v>
      </c>
      <c r="E61" s="1119">
        <v>0</v>
      </c>
      <c r="G61" s="27">
        <f>D61*E61</f>
        <v>0</v>
      </c>
      <c r="H61" s="27"/>
      <c r="I61" s="90" t="s">
        <v>1530</v>
      </c>
      <c r="J61" s="4">
        <f t="shared" si="3"/>
        <v>51</v>
      </c>
    </row>
    <row r="62" spans="1:10" x14ac:dyDescent="0.25">
      <c r="A62" s="4">
        <f t="shared" si="2"/>
        <v>52</v>
      </c>
      <c r="B62" s="31" t="s">
        <v>1040</v>
      </c>
      <c r="C62" s="6">
        <f>G39</f>
        <v>10938835.725</v>
      </c>
      <c r="D62" s="1052">
        <f>IFERROR(C62/C$50,0)</f>
        <v>0.52829883864151661</v>
      </c>
      <c r="E62" s="1183">
        <f>G55</f>
        <v>0</v>
      </c>
      <c r="G62" s="1052">
        <f>D62*E62</f>
        <v>0</v>
      </c>
      <c r="H62" s="27"/>
      <c r="I62" s="90" t="s">
        <v>1531</v>
      </c>
      <c r="J62" s="4">
        <f t="shared" si="3"/>
        <v>52</v>
      </c>
    </row>
    <row r="63" spans="1:10" ht="16.5" thickBot="1" x14ac:dyDescent="0.3">
      <c r="A63" s="4">
        <f t="shared" si="2"/>
        <v>53</v>
      </c>
      <c r="B63" s="31" t="s">
        <v>1341</v>
      </c>
      <c r="C63" s="95">
        <f>SUM(C60:C62)</f>
        <v>20705772.802999999</v>
      </c>
      <c r="D63" s="51">
        <f>SUM(D60:D62)</f>
        <v>1</v>
      </c>
      <c r="G63" s="51">
        <f>SUM(G60:G62)</f>
        <v>0</v>
      </c>
      <c r="H63" s="27"/>
      <c r="I63" s="90" t="s">
        <v>1532</v>
      </c>
      <c r="J63" s="4">
        <f t="shared" si="3"/>
        <v>53</v>
      </c>
    </row>
    <row r="64" spans="1:10" ht="16.5" thickTop="1" x14ac:dyDescent="0.25">
      <c r="A64" s="4">
        <f t="shared" si="2"/>
        <v>54</v>
      </c>
      <c r="I64" s="90"/>
      <c r="J64" s="4">
        <f t="shared" si="3"/>
        <v>54</v>
      </c>
    </row>
    <row r="65" spans="1:10" ht="16.5" thickBot="1" x14ac:dyDescent="0.3">
      <c r="A65" s="4">
        <f t="shared" si="2"/>
        <v>55</v>
      </c>
      <c r="B65" s="250" t="s">
        <v>1533</v>
      </c>
      <c r="G65" s="1184">
        <f>G61+G62</f>
        <v>0</v>
      </c>
      <c r="H65" s="27"/>
      <c r="I65" s="90" t="s">
        <v>1534</v>
      </c>
      <c r="J65" s="4">
        <f t="shared" si="3"/>
        <v>55</v>
      </c>
    </row>
    <row r="66" spans="1:10" ht="16.5" thickTop="1" x14ac:dyDescent="0.25">
      <c r="B66" s="250"/>
      <c r="G66" s="1120"/>
      <c r="H66" s="1120"/>
      <c r="I66" s="90"/>
      <c r="J66" s="4"/>
    </row>
    <row r="67" spans="1:10" ht="18.75" x14ac:dyDescent="0.25">
      <c r="A67" s="265">
        <v>1</v>
      </c>
      <c r="B67" s="31" t="s">
        <v>1045</v>
      </c>
      <c r="G67" s="70"/>
      <c r="H67" s="70"/>
      <c r="J67" s="4" t="s">
        <v>1</v>
      </c>
    </row>
    <row r="68" spans="1:10" ht="18.75" x14ac:dyDescent="0.25">
      <c r="A68" s="265"/>
      <c r="G68" s="70"/>
      <c r="H68" s="70"/>
      <c r="J68" s="4"/>
    </row>
    <row r="69" spans="1:10" ht="18.75" x14ac:dyDescent="0.25">
      <c r="A69" s="265"/>
      <c r="G69" s="70"/>
      <c r="H69" s="70"/>
      <c r="J69" s="4"/>
    </row>
    <row r="70" spans="1:10" x14ac:dyDescent="0.25">
      <c r="B70" s="1316" t="s">
        <v>0</v>
      </c>
      <c r="C70" s="1316"/>
      <c r="D70" s="1316"/>
      <c r="E70" s="1316"/>
      <c r="F70" s="1316"/>
      <c r="G70" s="1316"/>
      <c r="H70" s="1316"/>
      <c r="I70" s="1316"/>
      <c r="J70" s="4"/>
    </row>
    <row r="71" spans="1:10" x14ac:dyDescent="0.25">
      <c r="B71" s="1316" t="s">
        <v>984</v>
      </c>
      <c r="C71" s="1316"/>
      <c r="D71" s="1316"/>
      <c r="E71" s="1316"/>
      <c r="F71" s="1316"/>
      <c r="G71" s="1316"/>
      <c r="H71" s="1316"/>
      <c r="I71" s="1316"/>
      <c r="J71" s="4"/>
    </row>
    <row r="72" spans="1:10" x14ac:dyDescent="0.25">
      <c r="B72" s="1316" t="s">
        <v>985</v>
      </c>
      <c r="C72" s="1316"/>
      <c r="D72" s="1316"/>
      <c r="E72" s="1316"/>
      <c r="F72" s="1316"/>
      <c r="G72" s="1316"/>
      <c r="H72" s="1316"/>
      <c r="I72" s="1316"/>
      <c r="J72" s="4"/>
    </row>
    <row r="73" spans="1:10" x14ac:dyDescent="0.25">
      <c r="B73" s="1318" t="str">
        <f>B5</f>
        <v>Base Period &amp; True-Up Period 12 - Months Ending December 31, 2025</v>
      </c>
      <c r="C73" s="1318"/>
      <c r="D73" s="1318"/>
      <c r="E73" s="1318"/>
      <c r="F73" s="1318"/>
      <c r="G73" s="1318"/>
      <c r="H73" s="1318"/>
      <c r="I73" s="1318"/>
      <c r="J73" s="4"/>
    </row>
    <row r="74" spans="1:10" x14ac:dyDescent="0.25">
      <c r="B74" s="1312" t="s">
        <v>4</v>
      </c>
      <c r="C74" s="1313"/>
      <c r="D74" s="1313"/>
      <c r="E74" s="1313"/>
      <c r="F74" s="1313"/>
      <c r="G74" s="1313"/>
      <c r="H74" s="1313"/>
      <c r="I74" s="1313"/>
      <c r="J74" s="4"/>
    </row>
    <row r="75" spans="1:10" x14ac:dyDescent="0.25">
      <c r="B75" s="4"/>
      <c r="C75" s="4"/>
      <c r="D75" s="4"/>
      <c r="E75" s="4"/>
      <c r="F75" s="4"/>
      <c r="G75" s="4"/>
      <c r="H75" s="4"/>
      <c r="I75" s="90"/>
      <c r="J75" s="4"/>
    </row>
    <row r="76" spans="1:10" x14ac:dyDescent="0.25">
      <c r="A76" s="4" t="s">
        <v>5</v>
      </c>
      <c r="B76" s="217"/>
      <c r="C76" s="217"/>
      <c r="D76" s="217"/>
      <c r="E76" s="4" t="s">
        <v>210</v>
      </c>
      <c r="F76" s="217"/>
      <c r="G76" s="217"/>
      <c r="H76" s="217"/>
      <c r="I76" s="90"/>
      <c r="J76" s="4" t="s">
        <v>5</v>
      </c>
    </row>
    <row r="77" spans="1:10" x14ac:dyDescent="0.25">
      <c r="A77" s="4" t="s">
        <v>6</v>
      </c>
      <c r="B77" s="4"/>
      <c r="C77" s="4"/>
      <c r="D77" s="4"/>
      <c r="E77" s="848" t="s">
        <v>212</v>
      </c>
      <c r="F77" s="4"/>
      <c r="G77" s="849" t="s">
        <v>7</v>
      </c>
      <c r="H77" s="217"/>
      <c r="I77" s="850" t="s">
        <v>8</v>
      </c>
      <c r="J77" s="4" t="s">
        <v>6</v>
      </c>
    </row>
    <row r="78" spans="1:10" x14ac:dyDescent="0.25">
      <c r="I78" s="90"/>
      <c r="J78" s="4"/>
    </row>
    <row r="79" spans="1:10" ht="19.5" thickBot="1" x14ac:dyDescent="0.3">
      <c r="A79" s="4">
        <v>1</v>
      </c>
      <c r="B79" s="250" t="s">
        <v>1535</v>
      </c>
      <c r="G79" s="851">
        <v>0</v>
      </c>
      <c r="H79" s="217"/>
      <c r="I79" s="420"/>
      <c r="J79" s="4">
        <f>A79</f>
        <v>1</v>
      </c>
    </row>
    <row r="80" spans="1:10" ht="16.5" thickTop="1" x14ac:dyDescent="0.25">
      <c r="A80" s="4">
        <f t="shared" ref="A80:A102" si="4">A79+1</f>
        <v>2</v>
      </c>
      <c r="C80" s="34" t="s">
        <v>187</v>
      </c>
      <c r="D80" s="34" t="s">
        <v>188</v>
      </c>
      <c r="E80" s="34" t="s">
        <v>189</v>
      </c>
      <c r="F80" s="34"/>
      <c r="G80" s="34" t="s">
        <v>1027</v>
      </c>
      <c r="H80" s="34"/>
      <c r="I80" s="90"/>
      <c r="J80" s="4">
        <f t="shared" ref="J80:J102" si="5">J79+1</f>
        <v>2</v>
      </c>
    </row>
    <row r="81" spans="1:10" x14ac:dyDescent="0.25">
      <c r="A81" s="4">
        <f t="shared" si="4"/>
        <v>3</v>
      </c>
      <c r="D81" s="4" t="s">
        <v>1028</v>
      </c>
      <c r="E81" s="4" t="s">
        <v>1029</v>
      </c>
      <c r="F81" s="4"/>
      <c r="G81" s="4" t="s">
        <v>1030</v>
      </c>
      <c r="H81" s="4"/>
      <c r="I81" s="90"/>
      <c r="J81" s="4">
        <f t="shared" si="5"/>
        <v>3</v>
      </c>
    </row>
    <row r="82" spans="1:10" ht="18.75" x14ac:dyDescent="0.25">
      <c r="A82" s="4">
        <f t="shared" si="4"/>
        <v>4</v>
      </c>
      <c r="B82" s="250" t="s">
        <v>1046</v>
      </c>
      <c r="C82" s="848" t="s">
        <v>1536</v>
      </c>
      <c r="D82" s="848" t="s">
        <v>1033</v>
      </c>
      <c r="E82" s="848" t="s">
        <v>1034</v>
      </c>
      <c r="F82" s="848"/>
      <c r="G82" s="848" t="s">
        <v>1035</v>
      </c>
      <c r="H82" s="4"/>
      <c r="I82" s="90"/>
      <c r="J82" s="4">
        <f t="shared" si="5"/>
        <v>4</v>
      </c>
    </row>
    <row r="83" spans="1:10" x14ac:dyDescent="0.25">
      <c r="A83" s="4">
        <f t="shared" si="4"/>
        <v>5</v>
      </c>
      <c r="I83" s="90"/>
      <c r="J83" s="4">
        <f t="shared" si="5"/>
        <v>5</v>
      </c>
    </row>
    <row r="84" spans="1:10" x14ac:dyDescent="0.25">
      <c r="A84" s="4">
        <f t="shared" si="4"/>
        <v>6</v>
      </c>
      <c r="B84" s="31" t="s">
        <v>1036</v>
      </c>
      <c r="C84" s="852">
        <f>G17</f>
        <v>9766937.0779999997</v>
      </c>
      <c r="D84" s="853">
        <f>IFERROR(C84/C$87,0)</f>
        <v>0.47170116135848339</v>
      </c>
      <c r="E84" s="132">
        <f>G27</f>
        <v>4.2021276959433682E-2</v>
      </c>
      <c r="G84" s="854">
        <f>D84*E84</f>
        <v>1.9821485143531346E-2</v>
      </c>
      <c r="H84" s="854"/>
      <c r="I84" s="90" t="s">
        <v>1537</v>
      </c>
      <c r="J84" s="4">
        <f t="shared" si="5"/>
        <v>6</v>
      </c>
    </row>
    <row r="85" spans="1:10" x14ac:dyDescent="0.25">
      <c r="A85" s="4">
        <f t="shared" si="4"/>
        <v>7</v>
      </c>
      <c r="B85" s="31" t="s">
        <v>1038</v>
      </c>
      <c r="C85" s="855">
        <f>G30</f>
        <v>0</v>
      </c>
      <c r="D85" s="853">
        <f>IFERROR(C85/C$87,0)</f>
        <v>0</v>
      </c>
      <c r="E85" s="132">
        <f>G32</f>
        <v>0</v>
      </c>
      <c r="G85" s="854">
        <f>D85*E85</f>
        <v>0</v>
      </c>
      <c r="H85" s="854"/>
      <c r="I85" s="90" t="s">
        <v>1538</v>
      </c>
      <c r="J85" s="4">
        <f t="shared" si="5"/>
        <v>7</v>
      </c>
    </row>
    <row r="86" spans="1:10" x14ac:dyDescent="0.25">
      <c r="A86" s="4">
        <f t="shared" si="4"/>
        <v>8</v>
      </c>
      <c r="B86" s="31" t="s">
        <v>1040</v>
      </c>
      <c r="C86" s="855">
        <f>G39</f>
        <v>10938835.725</v>
      </c>
      <c r="D86" s="856">
        <f>IFERROR(C86/C$87,0)</f>
        <v>0.52829883864151661</v>
      </c>
      <c r="E86" s="1183">
        <f>G79</f>
        <v>0</v>
      </c>
      <c r="G86" s="857">
        <f>D86*E86</f>
        <v>0</v>
      </c>
      <c r="H86" s="858"/>
      <c r="I86" s="90" t="s">
        <v>1539</v>
      </c>
      <c r="J86" s="4">
        <f t="shared" si="5"/>
        <v>8</v>
      </c>
    </row>
    <row r="87" spans="1:10" ht="16.5" thickBot="1" x14ac:dyDescent="0.3">
      <c r="A87" s="4">
        <f t="shared" si="4"/>
        <v>9</v>
      </c>
      <c r="B87" s="31" t="s">
        <v>1042</v>
      </c>
      <c r="C87" s="95">
        <f>SUM(C84:C86)</f>
        <v>20705772.802999999</v>
      </c>
      <c r="D87" s="859">
        <f>SUM(D83:D86)</f>
        <v>1</v>
      </c>
      <c r="G87" s="860">
        <f>SUM(G84:G86)</f>
        <v>1.9821485143531346E-2</v>
      </c>
      <c r="H87" s="858"/>
      <c r="I87" s="90" t="s">
        <v>1540</v>
      </c>
      <c r="J87" s="4">
        <f t="shared" si="5"/>
        <v>9</v>
      </c>
    </row>
    <row r="88" spans="1:10" ht="16.5" thickTop="1" x14ac:dyDescent="0.25">
      <c r="A88" s="4">
        <f t="shared" si="4"/>
        <v>10</v>
      </c>
      <c r="I88" s="90"/>
      <c r="J88" s="4">
        <f t="shared" si="5"/>
        <v>10</v>
      </c>
    </row>
    <row r="89" spans="1:10" ht="16.5" thickBot="1" x14ac:dyDescent="0.3">
      <c r="A89" s="4">
        <f t="shared" si="4"/>
        <v>11</v>
      </c>
      <c r="B89" s="250" t="s">
        <v>1533</v>
      </c>
      <c r="G89" s="860">
        <f>G85+G86</f>
        <v>0</v>
      </c>
      <c r="H89" s="858"/>
      <c r="I89" s="90" t="s">
        <v>1541</v>
      </c>
      <c r="J89" s="4">
        <f t="shared" si="5"/>
        <v>11</v>
      </c>
    </row>
    <row r="90" spans="1:10" ht="17.25" thickTop="1" thickBot="1" x14ac:dyDescent="0.3">
      <c r="A90" s="861">
        <f t="shared" si="4"/>
        <v>12</v>
      </c>
      <c r="B90" s="1117"/>
      <c r="C90" s="862"/>
      <c r="D90" s="862"/>
      <c r="E90" s="862"/>
      <c r="F90" s="862"/>
      <c r="G90" s="1121"/>
      <c r="H90" s="1121"/>
      <c r="I90" s="863"/>
      <c r="J90" s="861">
        <f t="shared" si="5"/>
        <v>12</v>
      </c>
    </row>
    <row r="91" spans="1:10" x14ac:dyDescent="0.25">
      <c r="A91" s="4">
        <f t="shared" si="4"/>
        <v>13</v>
      </c>
      <c r="I91" s="90"/>
      <c r="J91" s="4">
        <f t="shared" si="5"/>
        <v>13</v>
      </c>
    </row>
    <row r="92" spans="1:10" ht="32.25" thickBot="1" x14ac:dyDescent="0.3">
      <c r="A92" s="4">
        <f t="shared" si="4"/>
        <v>14</v>
      </c>
      <c r="B92" s="250" t="s">
        <v>1542</v>
      </c>
      <c r="G92" s="851">
        <v>0</v>
      </c>
      <c r="I92" s="90" t="s">
        <v>1543</v>
      </c>
      <c r="J92" s="4">
        <f t="shared" si="5"/>
        <v>14</v>
      </c>
    </row>
    <row r="93" spans="1:10" ht="16.5" thickTop="1" x14ac:dyDescent="0.25">
      <c r="A93" s="4">
        <f t="shared" si="4"/>
        <v>15</v>
      </c>
      <c r="C93" s="34" t="s">
        <v>187</v>
      </c>
      <c r="D93" s="34" t="s">
        <v>188</v>
      </c>
      <c r="E93" s="34" t="s">
        <v>189</v>
      </c>
      <c r="F93" s="34"/>
      <c r="G93" s="34" t="s">
        <v>1027</v>
      </c>
      <c r="I93" s="90"/>
      <c r="J93" s="4">
        <f t="shared" si="5"/>
        <v>15</v>
      </c>
    </row>
    <row r="94" spans="1:10" x14ac:dyDescent="0.25">
      <c r="A94" s="4">
        <f t="shared" si="4"/>
        <v>16</v>
      </c>
      <c r="D94" s="4" t="s">
        <v>1028</v>
      </c>
      <c r="E94" s="4" t="s">
        <v>1029</v>
      </c>
      <c r="F94" s="4"/>
      <c r="G94" s="4" t="s">
        <v>1030</v>
      </c>
      <c r="I94" s="90"/>
      <c r="J94" s="4">
        <f t="shared" si="5"/>
        <v>16</v>
      </c>
    </row>
    <row r="95" spans="1:10" ht="18.75" x14ac:dyDescent="0.25">
      <c r="A95" s="4">
        <f t="shared" si="4"/>
        <v>17</v>
      </c>
      <c r="B95" s="250" t="s">
        <v>1031</v>
      </c>
      <c r="C95" s="848" t="s">
        <v>1536</v>
      </c>
      <c r="D95" s="848" t="s">
        <v>1033</v>
      </c>
      <c r="E95" s="848" t="s">
        <v>1034</v>
      </c>
      <c r="F95" s="848"/>
      <c r="G95" s="848" t="s">
        <v>1035</v>
      </c>
      <c r="I95" s="90"/>
      <c r="J95" s="4">
        <f t="shared" si="5"/>
        <v>17</v>
      </c>
    </row>
    <row r="96" spans="1:10" x14ac:dyDescent="0.25">
      <c r="A96" s="4">
        <f t="shared" si="4"/>
        <v>18</v>
      </c>
      <c r="I96" s="90"/>
      <c r="J96" s="4">
        <f t="shared" si="5"/>
        <v>18</v>
      </c>
    </row>
    <row r="97" spans="1:10" x14ac:dyDescent="0.25">
      <c r="A97" s="4">
        <f t="shared" si="4"/>
        <v>19</v>
      </c>
      <c r="B97" s="31" t="s">
        <v>1036</v>
      </c>
      <c r="C97" s="852">
        <f>G17</f>
        <v>9766937.0779999997</v>
      </c>
      <c r="D97" s="853">
        <f>IFERROR(C97/C$100,0)</f>
        <v>0.47170116135848339</v>
      </c>
      <c r="E97" s="1119">
        <v>0</v>
      </c>
      <c r="G97" s="854">
        <f>D97*E97</f>
        <v>0</v>
      </c>
      <c r="I97" s="90" t="s">
        <v>1530</v>
      </c>
      <c r="J97" s="4">
        <f t="shared" si="5"/>
        <v>19</v>
      </c>
    </row>
    <row r="98" spans="1:10" x14ac:dyDescent="0.25">
      <c r="A98" s="4">
        <f t="shared" si="4"/>
        <v>20</v>
      </c>
      <c r="B98" s="31" t="s">
        <v>1038</v>
      </c>
      <c r="C98" s="855">
        <f>G30</f>
        <v>0</v>
      </c>
      <c r="D98" s="853">
        <f>IFERROR(C98/C$100,0)</f>
        <v>0</v>
      </c>
      <c r="E98" s="1119">
        <v>0</v>
      </c>
      <c r="G98" s="854">
        <f>D98*E98</f>
        <v>0</v>
      </c>
      <c r="I98" s="90" t="s">
        <v>1530</v>
      </c>
      <c r="J98" s="4">
        <f t="shared" si="5"/>
        <v>20</v>
      </c>
    </row>
    <row r="99" spans="1:10" x14ac:dyDescent="0.25">
      <c r="A99" s="4">
        <f t="shared" si="4"/>
        <v>21</v>
      </c>
      <c r="B99" s="31" t="s">
        <v>1040</v>
      </c>
      <c r="C99" s="855">
        <f>G39</f>
        <v>10938835.725</v>
      </c>
      <c r="D99" s="856">
        <f>IFERROR(C99/C$100,0)</f>
        <v>0.52829883864151661</v>
      </c>
      <c r="E99" s="1183">
        <f>G92</f>
        <v>0</v>
      </c>
      <c r="G99" s="857">
        <f>D99*E99</f>
        <v>0</v>
      </c>
      <c r="I99" s="90" t="s">
        <v>1544</v>
      </c>
      <c r="J99" s="4">
        <f t="shared" si="5"/>
        <v>21</v>
      </c>
    </row>
    <row r="100" spans="1:10" ht="16.5" thickBot="1" x14ac:dyDescent="0.3">
      <c r="A100" s="4">
        <f t="shared" si="4"/>
        <v>22</v>
      </c>
      <c r="B100" s="31" t="s">
        <v>1042</v>
      </c>
      <c r="C100" s="95">
        <f>SUM(C97:C99)</f>
        <v>20705772.802999999</v>
      </c>
      <c r="D100" s="859">
        <f>SUM(D97:D99)</f>
        <v>1</v>
      </c>
      <c r="G100" s="860">
        <f>SUM(G97:G99)</f>
        <v>0</v>
      </c>
      <c r="I100" s="90" t="s">
        <v>86</v>
      </c>
      <c r="J100" s="4">
        <f t="shared" si="5"/>
        <v>22</v>
      </c>
    </row>
    <row r="101" spans="1:10" ht="16.5" thickTop="1" x14ac:dyDescent="0.25">
      <c r="A101" s="4">
        <f t="shared" si="4"/>
        <v>23</v>
      </c>
      <c r="I101" s="90"/>
      <c r="J101" s="4">
        <f t="shared" si="5"/>
        <v>23</v>
      </c>
    </row>
    <row r="102" spans="1:10" ht="16.5" thickBot="1" x14ac:dyDescent="0.3">
      <c r="A102" s="4">
        <f t="shared" si="4"/>
        <v>24</v>
      </c>
      <c r="B102" s="250" t="s">
        <v>1545</v>
      </c>
      <c r="G102" s="1185">
        <f>G99</f>
        <v>0</v>
      </c>
      <c r="I102" s="90" t="s">
        <v>1546</v>
      </c>
      <c r="J102" s="4">
        <f t="shared" si="5"/>
        <v>24</v>
      </c>
    </row>
    <row r="103" spans="1:10" ht="16.5" thickTop="1" x14ac:dyDescent="0.25">
      <c r="B103" s="250"/>
      <c r="G103" s="864"/>
      <c r="I103" s="90"/>
      <c r="J103" s="4"/>
    </row>
    <row r="104" spans="1:10" ht="18.75" x14ac:dyDescent="0.25">
      <c r="A104" s="265">
        <v>1</v>
      </c>
      <c r="B104" s="31" t="s">
        <v>1547</v>
      </c>
      <c r="G104" s="864"/>
      <c r="I104" s="90"/>
      <c r="J104" s="4"/>
    </row>
    <row r="105" spans="1:10" ht="18.75" x14ac:dyDescent="0.25">
      <c r="A105" s="265">
        <v>2</v>
      </c>
      <c r="B105" s="31" t="s">
        <v>1045</v>
      </c>
      <c r="G105" s="70"/>
      <c r="H105" s="70"/>
      <c r="J105" s="4" t="s">
        <v>1</v>
      </c>
    </row>
    <row r="106" spans="1:10" ht="18.75" x14ac:dyDescent="0.25">
      <c r="A106" s="265"/>
      <c r="G106" s="70"/>
      <c r="H106" s="70"/>
      <c r="J106" s="4"/>
    </row>
    <row r="107" spans="1:10" ht="18.75" x14ac:dyDescent="0.25">
      <c r="A107" s="265"/>
      <c r="G107" s="70"/>
      <c r="H107" s="70"/>
      <c r="J107" s="4"/>
    </row>
    <row r="108" spans="1:10" x14ac:dyDescent="0.25">
      <c r="B108" s="1316" t="s">
        <v>1342</v>
      </c>
      <c r="C108" s="1316"/>
      <c r="D108" s="1316"/>
      <c r="E108" s="1316"/>
      <c r="F108" s="1316"/>
      <c r="G108" s="1316"/>
      <c r="H108" s="1316"/>
      <c r="I108" s="1316"/>
      <c r="J108" s="4"/>
    </row>
    <row r="109" spans="1:10" x14ac:dyDescent="0.25">
      <c r="B109" s="1316" t="s">
        <v>984</v>
      </c>
      <c r="C109" s="1316"/>
      <c r="D109" s="1316"/>
      <c r="E109" s="1316"/>
      <c r="F109" s="1316"/>
      <c r="G109" s="1316"/>
      <c r="H109" s="1316"/>
      <c r="I109" s="1316"/>
      <c r="J109" s="4"/>
    </row>
    <row r="110" spans="1:10" x14ac:dyDescent="0.25">
      <c r="B110" s="1316" t="s">
        <v>985</v>
      </c>
      <c r="C110" s="1316"/>
      <c r="D110" s="1316"/>
      <c r="E110" s="1316"/>
      <c r="F110" s="1316"/>
      <c r="G110" s="1316"/>
      <c r="H110" s="1316"/>
      <c r="I110" s="1316"/>
      <c r="J110" s="4"/>
    </row>
    <row r="111" spans="1:10" x14ac:dyDescent="0.25">
      <c r="B111" s="1318" t="str">
        <f>B5</f>
        <v>Base Period &amp; True-Up Period 12 - Months Ending December 31, 2025</v>
      </c>
      <c r="C111" s="1318"/>
      <c r="D111" s="1318"/>
      <c r="E111" s="1318"/>
      <c r="F111" s="1318"/>
      <c r="G111" s="1318"/>
      <c r="H111" s="1318"/>
      <c r="I111" s="1318"/>
      <c r="J111" s="4"/>
    </row>
    <row r="112" spans="1:10" x14ac:dyDescent="0.25">
      <c r="B112" s="1312" t="s">
        <v>4</v>
      </c>
      <c r="C112" s="1313"/>
      <c r="D112" s="1313"/>
      <c r="E112" s="1313"/>
      <c r="F112" s="1313"/>
      <c r="G112" s="1313"/>
      <c r="H112" s="1313"/>
      <c r="I112" s="1313"/>
      <c r="J112" s="4"/>
    </row>
    <row r="113" spans="1:13" x14ac:dyDescent="0.25">
      <c r="B113" s="4"/>
      <c r="C113" s="4"/>
      <c r="D113" s="4"/>
      <c r="E113" s="4"/>
      <c r="F113" s="4"/>
      <c r="G113" s="4"/>
      <c r="H113" s="4"/>
      <c r="I113" s="90"/>
      <c r="J113" s="4"/>
    </row>
    <row r="114" spans="1:13" x14ac:dyDescent="0.25">
      <c r="A114" s="4" t="s">
        <v>5</v>
      </c>
      <c r="B114" s="217"/>
      <c r="C114" s="217"/>
      <c r="D114" s="217"/>
      <c r="E114" s="217"/>
      <c r="F114" s="217"/>
      <c r="G114" s="217"/>
      <c r="H114" s="217"/>
      <c r="I114" s="90"/>
      <c r="J114" s="4" t="s">
        <v>5</v>
      </c>
    </row>
    <row r="115" spans="1:13" x14ac:dyDescent="0.25">
      <c r="A115" s="4" t="s">
        <v>6</v>
      </c>
      <c r="B115" s="4"/>
      <c r="C115" s="4"/>
      <c r="D115" s="4"/>
      <c r="E115" s="4"/>
      <c r="F115" s="4"/>
      <c r="G115" s="848" t="s">
        <v>7</v>
      </c>
      <c r="H115" s="217"/>
      <c r="I115" s="850" t="s">
        <v>8</v>
      </c>
      <c r="J115" s="4" t="s">
        <v>6</v>
      </c>
    </row>
    <row r="116" spans="1:13" x14ac:dyDescent="0.25">
      <c r="G116" s="4"/>
      <c r="H116" s="4"/>
      <c r="I116" s="90"/>
      <c r="J116" s="4"/>
    </row>
    <row r="117" spans="1:13" ht="18.75" x14ac:dyDescent="0.25">
      <c r="A117" s="4">
        <v>1</v>
      </c>
      <c r="B117" s="250" t="s">
        <v>1548</v>
      </c>
      <c r="E117" s="217"/>
      <c r="F117" s="217"/>
      <c r="G117" s="41"/>
      <c r="H117" s="41"/>
      <c r="I117" s="90"/>
      <c r="J117" s="4">
        <f>A117</f>
        <v>1</v>
      </c>
    </row>
    <row r="118" spans="1:13" x14ac:dyDescent="0.25">
      <c r="A118" s="4">
        <f>A117+1</f>
        <v>2</v>
      </c>
      <c r="B118" s="33"/>
      <c r="E118" s="217"/>
      <c r="F118" s="217"/>
      <c r="G118" s="41"/>
      <c r="H118" s="41"/>
      <c r="I118" s="90"/>
      <c r="J118" s="4">
        <f>J117+1</f>
        <v>2</v>
      </c>
    </row>
    <row r="119" spans="1:13" x14ac:dyDescent="0.25">
      <c r="A119" s="4">
        <f>A105+1</f>
        <v>3</v>
      </c>
      <c r="B119" s="250" t="s">
        <v>1343</v>
      </c>
      <c r="E119" s="217"/>
      <c r="F119" s="217"/>
      <c r="G119" s="41"/>
      <c r="H119" s="41"/>
      <c r="I119" s="90"/>
      <c r="J119" s="4">
        <f>J118+1</f>
        <v>3</v>
      </c>
    </row>
    <row r="120" spans="1:13" x14ac:dyDescent="0.25">
      <c r="A120" s="4">
        <f>A119+1</f>
        <v>4</v>
      </c>
      <c r="B120" s="217"/>
      <c r="C120" s="217"/>
      <c r="D120" s="217"/>
      <c r="E120" s="217"/>
      <c r="F120" s="217"/>
      <c r="G120" s="41"/>
      <c r="H120" s="41"/>
      <c r="I120" s="90"/>
      <c r="J120" s="4">
        <f>J119+1</f>
        <v>4</v>
      </c>
    </row>
    <row r="121" spans="1:13" x14ac:dyDescent="0.25">
      <c r="A121" s="4">
        <f t="shared" ref="A121:A182" si="6">A120+1</f>
        <v>5</v>
      </c>
      <c r="B121" s="32" t="s">
        <v>1048</v>
      </c>
      <c r="C121" s="217"/>
      <c r="D121" s="217"/>
      <c r="E121" s="217"/>
      <c r="F121" s="217"/>
      <c r="G121" s="41"/>
      <c r="H121" s="41"/>
      <c r="I121" s="463"/>
      <c r="J121" s="4">
        <f>J120+1</f>
        <v>5</v>
      </c>
    </row>
    <row r="122" spans="1:13" x14ac:dyDescent="0.25">
      <c r="A122" s="4">
        <f t="shared" si="6"/>
        <v>6</v>
      </c>
      <c r="B122" s="31" t="s">
        <v>1049</v>
      </c>
      <c r="D122" s="217"/>
      <c r="E122" s="217"/>
      <c r="F122" s="217"/>
      <c r="G122" s="132">
        <f>G52</f>
        <v>5.3358182702793182E-2</v>
      </c>
      <c r="H122" s="217"/>
      <c r="I122" s="90" t="s">
        <v>1549</v>
      </c>
      <c r="J122" s="4">
        <f t="shared" ref="J122:J182" si="7">J121+1</f>
        <v>6</v>
      </c>
      <c r="K122" s="4"/>
      <c r="L122" s="4"/>
    </row>
    <row r="123" spans="1:13" ht="15.75" customHeight="1" x14ac:dyDescent="0.25">
      <c r="A123" s="4">
        <f t="shared" si="6"/>
        <v>7</v>
      </c>
      <c r="B123" s="31" t="s">
        <v>1344</v>
      </c>
      <c r="D123" s="217"/>
      <c r="E123" s="217"/>
      <c r="F123" s="217"/>
      <c r="G123" s="22">
        <f>-'Stmt AR'!E19</f>
        <v>4154.4922645684592</v>
      </c>
      <c r="H123" s="217"/>
      <c r="I123" s="90" t="s">
        <v>1051</v>
      </c>
      <c r="J123" s="4">
        <f t="shared" si="7"/>
        <v>7</v>
      </c>
      <c r="K123" s="4"/>
      <c r="L123" s="4"/>
    </row>
    <row r="124" spans="1:13" x14ac:dyDescent="0.25">
      <c r="A124" s="4">
        <f t="shared" si="6"/>
        <v>8</v>
      </c>
      <c r="B124" s="31" t="s">
        <v>1052</v>
      </c>
      <c r="D124" s="217"/>
      <c r="E124" s="217"/>
      <c r="F124" s="217"/>
      <c r="G124" s="109">
        <f>'AV-1A'!C33</f>
        <v>12371.309462440002</v>
      </c>
      <c r="H124" s="217"/>
      <c r="I124" s="420" t="s">
        <v>1637</v>
      </c>
      <c r="J124" s="4">
        <f t="shared" si="7"/>
        <v>8</v>
      </c>
      <c r="K124" s="4"/>
      <c r="L124" s="217"/>
    </row>
    <row r="125" spans="1:13" x14ac:dyDescent="0.25">
      <c r="A125" s="4">
        <f t="shared" si="6"/>
        <v>9</v>
      </c>
      <c r="B125" s="31" t="s">
        <v>1053</v>
      </c>
      <c r="D125" s="217"/>
      <c r="E125" s="506"/>
      <c r="F125" s="217"/>
      <c r="G125" s="7">
        <f>'TO5 True-Up BK-1'!E136</f>
        <v>5726461.0020354921</v>
      </c>
      <c r="H125" s="217"/>
      <c r="I125" s="90" t="s">
        <v>1345</v>
      </c>
      <c r="J125" s="4">
        <f t="shared" si="7"/>
        <v>9</v>
      </c>
      <c r="K125" s="4"/>
      <c r="L125" s="4"/>
    </row>
    <row r="126" spans="1:13" x14ac:dyDescent="0.25">
      <c r="A126" s="4">
        <f t="shared" si="6"/>
        <v>10</v>
      </c>
      <c r="B126" s="31" t="s">
        <v>1346</v>
      </c>
      <c r="D126" s="47"/>
      <c r="E126" s="217"/>
      <c r="F126" s="217"/>
      <c r="G126" s="1061">
        <v>0.21</v>
      </c>
      <c r="H126" s="217"/>
      <c r="I126" s="90" t="s">
        <v>1056</v>
      </c>
      <c r="J126" s="4">
        <f t="shared" si="7"/>
        <v>10</v>
      </c>
      <c r="K126" s="4"/>
      <c r="L126" s="4"/>
      <c r="M126" s="253"/>
    </row>
    <row r="127" spans="1:13" x14ac:dyDescent="0.25">
      <c r="A127" s="4">
        <f t="shared" si="6"/>
        <v>11</v>
      </c>
      <c r="G127" s="4"/>
      <c r="H127" s="4"/>
      <c r="J127" s="4">
        <f t="shared" si="7"/>
        <v>11</v>
      </c>
      <c r="K127" s="4"/>
      <c r="L127" s="4"/>
    </row>
    <row r="128" spans="1:13" x14ac:dyDescent="0.25">
      <c r="A128" s="4">
        <f t="shared" si="6"/>
        <v>12</v>
      </c>
      <c r="B128" s="31" t="s">
        <v>1057</v>
      </c>
      <c r="D128" s="217"/>
      <c r="E128" s="217"/>
      <c r="F128" s="217"/>
      <c r="G128" s="1054">
        <f>IFERROR((((G122)+(G124/G125))*G126-(G123/G125))/(1-G126),0)</f>
        <v>1.3839755678284016E-2</v>
      </c>
      <c r="H128" s="26"/>
      <c r="I128" s="90" t="s">
        <v>1058</v>
      </c>
      <c r="J128" s="4">
        <f t="shared" si="7"/>
        <v>12</v>
      </c>
      <c r="K128" s="4"/>
      <c r="L128" s="4"/>
      <c r="M128" s="465"/>
    </row>
    <row r="129" spans="1:14" x14ac:dyDescent="0.25">
      <c r="A129" s="4">
        <f t="shared" si="6"/>
        <v>13</v>
      </c>
      <c r="B129" s="248" t="s">
        <v>1059</v>
      </c>
      <c r="G129" s="4"/>
      <c r="H129" s="4"/>
      <c r="J129" s="4">
        <f t="shared" si="7"/>
        <v>13</v>
      </c>
    </row>
    <row r="130" spans="1:14" x14ac:dyDescent="0.25">
      <c r="A130" s="4">
        <f t="shared" si="6"/>
        <v>14</v>
      </c>
      <c r="G130" s="4"/>
      <c r="H130" s="4"/>
      <c r="J130" s="4">
        <f t="shared" si="7"/>
        <v>14</v>
      </c>
    </row>
    <row r="131" spans="1:14" x14ac:dyDescent="0.25">
      <c r="A131" s="4">
        <f t="shared" si="6"/>
        <v>15</v>
      </c>
      <c r="B131" s="250" t="s">
        <v>1060</v>
      </c>
      <c r="C131" s="217"/>
      <c r="D131" s="217"/>
      <c r="E131" s="217"/>
      <c r="F131" s="217"/>
      <c r="G131" s="133"/>
      <c r="H131" s="133"/>
      <c r="I131" s="466"/>
      <c r="J131" s="4">
        <f t="shared" si="7"/>
        <v>15</v>
      </c>
      <c r="L131" s="467"/>
    </row>
    <row r="132" spans="1:14" x14ac:dyDescent="0.25">
      <c r="A132" s="4">
        <f t="shared" si="6"/>
        <v>16</v>
      </c>
      <c r="B132" s="339"/>
      <c r="C132" s="217"/>
      <c r="D132" s="217"/>
      <c r="E132" s="217"/>
      <c r="F132" s="217"/>
      <c r="G132" s="133"/>
      <c r="H132" s="133"/>
      <c r="I132" s="468"/>
      <c r="J132" s="4">
        <f t="shared" si="7"/>
        <v>16</v>
      </c>
      <c r="L132" s="217"/>
    </row>
    <row r="133" spans="1:14" x14ac:dyDescent="0.25">
      <c r="A133" s="4">
        <f t="shared" si="6"/>
        <v>17</v>
      </c>
      <c r="B133" s="32" t="s">
        <v>1048</v>
      </c>
      <c r="C133" s="217"/>
      <c r="D133" s="217"/>
      <c r="E133" s="217"/>
      <c r="F133" s="217"/>
      <c r="G133" s="133"/>
      <c r="H133" s="133"/>
      <c r="I133" s="468"/>
      <c r="J133" s="4">
        <f t="shared" si="7"/>
        <v>17</v>
      </c>
      <c r="L133" s="217"/>
    </row>
    <row r="134" spans="1:14" x14ac:dyDescent="0.25">
      <c r="A134" s="4">
        <f t="shared" si="6"/>
        <v>18</v>
      </c>
      <c r="B134" s="31" t="s">
        <v>1049</v>
      </c>
      <c r="D134" s="217"/>
      <c r="E134" s="217"/>
      <c r="F134" s="217"/>
      <c r="G134" s="132">
        <f>G122</f>
        <v>5.3358182702793182E-2</v>
      </c>
      <c r="H134" s="27"/>
      <c r="I134" s="90" t="s">
        <v>1061</v>
      </c>
      <c r="J134" s="4">
        <f t="shared" si="7"/>
        <v>18</v>
      </c>
      <c r="L134" s="4"/>
      <c r="N134" s="254"/>
    </row>
    <row r="135" spans="1:14" x14ac:dyDescent="0.25">
      <c r="A135" s="4">
        <f t="shared" si="6"/>
        <v>19</v>
      </c>
      <c r="B135" s="31" t="s">
        <v>1062</v>
      </c>
      <c r="D135" s="217"/>
      <c r="E135" s="217"/>
      <c r="F135" s="217"/>
      <c r="G135" s="887">
        <f>-'Stmt AT'!E19</f>
        <v>0</v>
      </c>
      <c r="H135" s="27"/>
      <c r="I135" s="90" t="s">
        <v>1063</v>
      </c>
      <c r="J135" s="4">
        <f t="shared" si="7"/>
        <v>19</v>
      </c>
      <c r="L135" s="4"/>
      <c r="N135" s="254"/>
    </row>
    <row r="136" spans="1:14" x14ac:dyDescent="0.25">
      <c r="A136" s="4">
        <f t="shared" si="6"/>
        <v>20</v>
      </c>
      <c r="B136" s="31" t="s">
        <v>1052</v>
      </c>
      <c r="D136" s="217"/>
      <c r="E136" s="217"/>
      <c r="F136" s="217"/>
      <c r="G136" s="22">
        <f>G124</f>
        <v>12371.309462440002</v>
      </c>
      <c r="H136" s="44"/>
      <c r="I136" s="90" t="s">
        <v>1064</v>
      </c>
      <c r="J136" s="4">
        <f t="shared" si="7"/>
        <v>20</v>
      </c>
      <c r="L136" s="4"/>
    </row>
    <row r="137" spans="1:14" x14ac:dyDescent="0.25">
      <c r="A137" s="4">
        <f t="shared" si="6"/>
        <v>21</v>
      </c>
      <c r="B137" s="31" t="s">
        <v>1053</v>
      </c>
      <c r="D137" s="217"/>
      <c r="E137" s="217"/>
      <c r="F137" s="217"/>
      <c r="G137" s="7">
        <f>G125</f>
        <v>5726461.0020354921</v>
      </c>
      <c r="H137" s="10"/>
      <c r="I137" s="90" t="s">
        <v>1065</v>
      </c>
      <c r="J137" s="4">
        <f t="shared" si="7"/>
        <v>21</v>
      </c>
      <c r="L137" s="4"/>
      <c r="N137" s="254"/>
    </row>
    <row r="138" spans="1:14" x14ac:dyDescent="0.25">
      <c r="A138" s="4">
        <f t="shared" si="6"/>
        <v>22</v>
      </c>
      <c r="B138" s="31" t="s">
        <v>1066</v>
      </c>
      <c r="D138" s="217"/>
      <c r="E138" s="217"/>
      <c r="F138" s="217"/>
      <c r="G138" s="1139">
        <f>G128</f>
        <v>1.3839755678284016E-2</v>
      </c>
      <c r="H138" s="26"/>
      <c r="I138" s="90" t="s">
        <v>1067</v>
      </c>
      <c r="J138" s="4">
        <f t="shared" si="7"/>
        <v>22</v>
      </c>
      <c r="K138" s="4"/>
      <c r="L138" s="4"/>
      <c r="M138" s="4"/>
    </row>
    <row r="139" spans="1:14" x14ac:dyDescent="0.25">
      <c r="A139" s="4">
        <f t="shared" si="6"/>
        <v>23</v>
      </c>
      <c r="B139" s="31" t="s">
        <v>1068</v>
      </c>
      <c r="D139" s="217"/>
      <c r="E139" s="217"/>
      <c r="F139" s="217"/>
      <c r="G139" s="1053" t="s">
        <v>1069</v>
      </c>
      <c r="H139" s="217"/>
      <c r="I139" s="90" t="s">
        <v>1070</v>
      </c>
      <c r="J139" s="4">
        <f t="shared" si="7"/>
        <v>23</v>
      </c>
      <c r="K139" s="4"/>
      <c r="L139" s="4"/>
      <c r="M139" s="4"/>
    </row>
    <row r="140" spans="1:14" x14ac:dyDescent="0.25">
      <c r="A140" s="4">
        <f t="shared" si="6"/>
        <v>24</v>
      </c>
      <c r="B140" s="1"/>
      <c r="D140" s="217"/>
      <c r="E140" s="217"/>
      <c r="F140" s="217"/>
      <c r="G140" s="134"/>
      <c r="H140" s="134"/>
      <c r="I140" s="468"/>
      <c r="J140" s="4">
        <f t="shared" si="7"/>
        <v>24</v>
      </c>
      <c r="K140" s="4"/>
      <c r="L140" s="4"/>
      <c r="M140" s="4"/>
    </row>
    <row r="141" spans="1:14" x14ac:dyDescent="0.25">
      <c r="A141" s="4">
        <f t="shared" si="6"/>
        <v>25</v>
      </c>
      <c r="B141" s="31" t="s">
        <v>1071</v>
      </c>
      <c r="C141" s="4"/>
      <c r="D141" s="4"/>
      <c r="E141" s="217"/>
      <c r="F141" s="217"/>
      <c r="G141" s="1054">
        <f>IFERROR((((G134)+(G136/G137)+G128)*G139-(G135/G137))/(1-G139),0)</f>
        <v>6.725839183586736E-3</v>
      </c>
      <c r="H141" s="26"/>
      <c r="I141" s="90" t="s">
        <v>1072</v>
      </c>
      <c r="J141" s="4">
        <f t="shared" si="7"/>
        <v>25</v>
      </c>
      <c r="K141" s="4"/>
      <c r="L141" s="4"/>
      <c r="M141" s="4"/>
    </row>
    <row r="142" spans="1:14" x14ac:dyDescent="0.25">
      <c r="A142" s="4">
        <f t="shared" si="6"/>
        <v>26</v>
      </c>
      <c r="B142" s="248" t="s">
        <v>1347</v>
      </c>
      <c r="G142" s="4"/>
      <c r="H142" s="4"/>
      <c r="I142" s="90"/>
      <c r="J142" s="4">
        <f t="shared" si="7"/>
        <v>26</v>
      </c>
      <c r="K142" s="4"/>
      <c r="L142" s="4"/>
      <c r="M142" s="4"/>
    </row>
    <row r="143" spans="1:14" x14ac:dyDescent="0.25">
      <c r="A143" s="4">
        <f t="shared" si="6"/>
        <v>27</v>
      </c>
      <c r="G143" s="4"/>
      <c r="H143" s="4"/>
      <c r="I143" s="90"/>
      <c r="J143" s="4">
        <f t="shared" si="7"/>
        <v>27</v>
      </c>
      <c r="K143" s="4"/>
      <c r="L143" s="4"/>
      <c r="M143" s="4"/>
    </row>
    <row r="144" spans="1:14" x14ac:dyDescent="0.25">
      <c r="A144" s="4">
        <f t="shared" si="6"/>
        <v>28</v>
      </c>
      <c r="B144" s="250" t="s">
        <v>1550</v>
      </c>
      <c r="G144" s="1054">
        <f>G141+G128</f>
        <v>2.0565594861870751E-2</v>
      </c>
      <c r="H144" s="26"/>
      <c r="I144" s="90" t="s">
        <v>1074</v>
      </c>
      <c r="J144" s="4">
        <f t="shared" si="7"/>
        <v>28</v>
      </c>
      <c r="K144" s="4"/>
      <c r="L144" s="4"/>
      <c r="M144" s="4"/>
    </row>
    <row r="145" spans="1:13" x14ac:dyDescent="0.25">
      <c r="A145" s="4">
        <f t="shared" si="6"/>
        <v>29</v>
      </c>
      <c r="G145" s="4"/>
      <c r="H145" s="4"/>
      <c r="I145" s="90"/>
      <c r="J145" s="4">
        <f t="shared" si="7"/>
        <v>29</v>
      </c>
      <c r="L145" s="4"/>
    </row>
    <row r="146" spans="1:13" x14ac:dyDescent="0.25">
      <c r="A146" s="4">
        <f t="shared" si="6"/>
        <v>30</v>
      </c>
      <c r="B146" s="250" t="s">
        <v>1551</v>
      </c>
      <c r="G146" s="867">
        <f>G50</f>
        <v>7.3179667846324528E-2</v>
      </c>
      <c r="H146" s="217"/>
      <c r="I146" s="90" t="s">
        <v>1552</v>
      </c>
      <c r="J146" s="4">
        <f t="shared" si="7"/>
        <v>30</v>
      </c>
      <c r="K146" s="254"/>
      <c r="L146" s="4"/>
    </row>
    <row r="147" spans="1:13" x14ac:dyDescent="0.25">
      <c r="A147" s="4">
        <f t="shared" si="6"/>
        <v>31</v>
      </c>
      <c r="G147" s="27"/>
      <c r="H147" s="27"/>
      <c r="I147" s="90"/>
      <c r="J147" s="4">
        <f t="shared" si="7"/>
        <v>31</v>
      </c>
      <c r="L147" s="4"/>
    </row>
    <row r="148" spans="1:13" ht="19.5" thickBot="1" x14ac:dyDescent="0.3">
      <c r="A148" s="4">
        <f t="shared" si="6"/>
        <v>32</v>
      </c>
      <c r="B148" s="250" t="s">
        <v>1553</v>
      </c>
      <c r="G148" s="1122">
        <f>G144+G146</f>
        <v>9.3745262708195276E-2</v>
      </c>
      <c r="H148" s="26"/>
      <c r="I148" s="90" t="s">
        <v>1554</v>
      </c>
      <c r="J148" s="4">
        <f t="shared" si="7"/>
        <v>32</v>
      </c>
      <c r="K148" s="254"/>
      <c r="L148" s="469"/>
      <c r="M148" s="465"/>
    </row>
    <row r="149" spans="1:13" ht="17.25" thickTop="1" thickBot="1" x14ac:dyDescent="0.3">
      <c r="A149" s="861">
        <f t="shared" si="6"/>
        <v>33</v>
      </c>
      <c r="B149" s="862"/>
      <c r="C149" s="862"/>
      <c r="D149" s="862"/>
      <c r="E149" s="862"/>
      <c r="F149" s="862"/>
      <c r="G149" s="861"/>
      <c r="H149" s="861"/>
      <c r="I149" s="863"/>
      <c r="J149" s="861">
        <f t="shared" si="7"/>
        <v>33</v>
      </c>
      <c r="K149" s="254"/>
      <c r="L149" s="469"/>
      <c r="M149" s="465"/>
    </row>
    <row r="150" spans="1:13" x14ac:dyDescent="0.25">
      <c r="A150" s="4">
        <f t="shared" si="6"/>
        <v>34</v>
      </c>
      <c r="G150" s="4"/>
      <c r="H150" s="4"/>
      <c r="I150" s="90"/>
      <c r="J150" s="4">
        <f t="shared" si="7"/>
        <v>34</v>
      </c>
      <c r="K150" s="254"/>
      <c r="L150" s="469"/>
      <c r="M150" s="465"/>
    </row>
    <row r="151" spans="1:13" ht="18.75" x14ac:dyDescent="0.25">
      <c r="A151" s="4">
        <f t="shared" si="6"/>
        <v>35</v>
      </c>
      <c r="B151" s="250" t="s">
        <v>1555</v>
      </c>
      <c r="E151" s="217"/>
      <c r="F151" s="217"/>
      <c r="G151" s="41"/>
      <c r="H151" s="41"/>
      <c r="I151" s="90"/>
      <c r="J151" s="4">
        <f t="shared" si="7"/>
        <v>35</v>
      </c>
      <c r="K151" s="254"/>
      <c r="L151" s="469"/>
      <c r="M151" s="465"/>
    </row>
    <row r="152" spans="1:13" x14ac:dyDescent="0.25">
      <c r="A152" s="4">
        <f t="shared" si="6"/>
        <v>36</v>
      </c>
      <c r="B152" s="33"/>
      <c r="E152" s="217"/>
      <c r="F152" s="217"/>
      <c r="G152" s="41"/>
      <c r="H152" s="41"/>
      <c r="I152" s="90"/>
      <c r="J152" s="4">
        <f t="shared" si="7"/>
        <v>36</v>
      </c>
      <c r="K152" s="254"/>
      <c r="L152" s="469"/>
      <c r="M152" s="465"/>
    </row>
    <row r="153" spans="1:13" x14ac:dyDescent="0.25">
      <c r="A153" s="4">
        <f t="shared" si="6"/>
        <v>37</v>
      </c>
      <c r="B153" s="250" t="s">
        <v>1047</v>
      </c>
      <c r="E153" s="217"/>
      <c r="F153" s="217"/>
      <c r="G153" s="41"/>
      <c r="H153" s="41"/>
      <c r="I153" s="90"/>
      <c r="J153" s="4">
        <f t="shared" si="7"/>
        <v>37</v>
      </c>
      <c r="K153" s="254"/>
      <c r="L153" s="469"/>
      <c r="M153" s="465"/>
    </row>
    <row r="154" spans="1:13" x14ac:dyDescent="0.25">
      <c r="A154" s="4">
        <f t="shared" si="6"/>
        <v>38</v>
      </c>
      <c r="B154" s="217"/>
      <c r="C154" s="217"/>
      <c r="D154" s="217"/>
      <c r="E154" s="217"/>
      <c r="F154" s="217"/>
      <c r="G154" s="41"/>
      <c r="H154" s="41"/>
      <c r="I154" s="90"/>
      <c r="J154" s="4">
        <f t="shared" si="7"/>
        <v>38</v>
      </c>
      <c r="K154" s="254"/>
      <c r="L154" s="469"/>
      <c r="M154" s="465"/>
    </row>
    <row r="155" spans="1:13" x14ac:dyDescent="0.25">
      <c r="A155" s="4">
        <f t="shared" si="6"/>
        <v>39</v>
      </c>
      <c r="B155" s="32" t="s">
        <v>1048</v>
      </c>
      <c r="C155" s="217"/>
      <c r="D155" s="217"/>
      <c r="E155" s="217"/>
      <c r="F155" s="217"/>
      <c r="G155" s="41"/>
      <c r="H155" s="41"/>
      <c r="I155" s="463"/>
      <c r="J155" s="4">
        <f t="shared" si="7"/>
        <v>39</v>
      </c>
      <c r="K155" s="254"/>
      <c r="L155" s="469"/>
      <c r="M155" s="465"/>
    </row>
    <row r="156" spans="1:13" x14ac:dyDescent="0.25">
      <c r="A156" s="4">
        <f t="shared" si="6"/>
        <v>40</v>
      </c>
      <c r="B156" s="31" t="s">
        <v>1556</v>
      </c>
      <c r="D156" s="217"/>
      <c r="E156" s="217"/>
      <c r="F156" s="217"/>
      <c r="G156" s="1123">
        <f>G65</f>
        <v>0</v>
      </c>
      <c r="H156" s="217"/>
      <c r="I156" s="90" t="s">
        <v>1557</v>
      </c>
      <c r="J156" s="4">
        <f t="shared" si="7"/>
        <v>40</v>
      </c>
      <c r="K156" s="254"/>
      <c r="L156" s="469"/>
      <c r="M156" s="465"/>
    </row>
    <row r="157" spans="1:13" x14ac:dyDescent="0.25">
      <c r="A157" s="4">
        <f t="shared" si="6"/>
        <v>41</v>
      </c>
      <c r="B157" s="31" t="s">
        <v>1050</v>
      </c>
      <c r="D157" s="217"/>
      <c r="E157" s="217"/>
      <c r="F157" s="217"/>
      <c r="G157" s="1124">
        <v>0</v>
      </c>
      <c r="H157" s="217"/>
      <c r="I157" s="90" t="s">
        <v>1530</v>
      </c>
      <c r="J157" s="4">
        <f t="shared" si="7"/>
        <v>41</v>
      </c>
      <c r="K157" s="254"/>
      <c r="L157" s="469"/>
      <c r="M157" s="465"/>
    </row>
    <row r="158" spans="1:13" x14ac:dyDescent="0.25">
      <c r="A158" s="4">
        <f t="shared" si="6"/>
        <v>42</v>
      </c>
      <c r="B158" s="31" t="s">
        <v>1052</v>
      </c>
      <c r="D158" s="217"/>
      <c r="E158" s="217"/>
      <c r="F158" s="217"/>
      <c r="G158" s="1124">
        <v>0</v>
      </c>
      <c r="H158" s="217"/>
      <c r="I158" s="90" t="s">
        <v>1530</v>
      </c>
      <c r="J158" s="4">
        <f t="shared" si="7"/>
        <v>42</v>
      </c>
      <c r="K158" s="254"/>
      <c r="L158" s="469"/>
      <c r="M158" s="465"/>
    </row>
    <row r="159" spans="1:13" x14ac:dyDescent="0.25">
      <c r="A159" s="4">
        <f t="shared" si="6"/>
        <v>43</v>
      </c>
      <c r="B159" s="31" t="s">
        <v>1053</v>
      </c>
      <c r="D159" s="217"/>
      <c r="E159" s="464"/>
      <c r="F159" s="217"/>
      <c r="G159" s="1125">
        <f>'TO5 True-Up BK-1'!E136</f>
        <v>5726461.0020354921</v>
      </c>
      <c r="H159" s="217"/>
      <c r="I159" s="90" t="s">
        <v>1345</v>
      </c>
      <c r="J159" s="4">
        <f t="shared" si="7"/>
        <v>43</v>
      </c>
      <c r="K159" s="254"/>
      <c r="L159" s="469"/>
      <c r="M159" s="465"/>
    </row>
    <row r="160" spans="1:13" x14ac:dyDescent="0.25">
      <c r="A160" s="4">
        <f t="shared" si="6"/>
        <v>44</v>
      </c>
      <c r="B160" s="31" t="s">
        <v>1054</v>
      </c>
      <c r="D160" s="865"/>
      <c r="E160" s="217"/>
      <c r="F160" s="217"/>
      <c r="G160" s="1126" t="s">
        <v>1055</v>
      </c>
      <c r="H160" s="217"/>
      <c r="I160" s="90" t="s">
        <v>1056</v>
      </c>
      <c r="J160" s="4">
        <f t="shared" si="7"/>
        <v>44</v>
      </c>
      <c r="K160" s="254"/>
      <c r="L160" s="469"/>
      <c r="M160" s="465"/>
    </row>
    <row r="161" spans="1:13" x14ac:dyDescent="0.25">
      <c r="A161" s="4">
        <f t="shared" si="6"/>
        <v>45</v>
      </c>
      <c r="G161" s="4"/>
      <c r="H161" s="4"/>
      <c r="J161" s="4">
        <f t="shared" si="7"/>
        <v>45</v>
      </c>
      <c r="K161" s="254"/>
      <c r="L161" s="469"/>
      <c r="M161" s="465"/>
    </row>
    <row r="162" spans="1:13" x14ac:dyDescent="0.25">
      <c r="A162" s="4">
        <f t="shared" si="6"/>
        <v>46</v>
      </c>
      <c r="B162" s="31" t="s">
        <v>1057</v>
      </c>
      <c r="D162" s="217"/>
      <c r="E162" s="217"/>
      <c r="F162" s="217"/>
      <c r="G162" s="1131">
        <f>IFERROR((((G156)+(G158/G159))*G160-(G157/G159))/(1-G160),0)</f>
        <v>0</v>
      </c>
      <c r="H162" s="1127"/>
      <c r="I162" s="90" t="s">
        <v>1058</v>
      </c>
      <c r="J162" s="4">
        <f t="shared" si="7"/>
        <v>46</v>
      </c>
      <c r="K162" s="254"/>
      <c r="L162" s="469"/>
      <c r="M162" s="465"/>
    </row>
    <row r="163" spans="1:13" x14ac:dyDescent="0.25">
      <c r="A163" s="4">
        <f t="shared" si="6"/>
        <v>47</v>
      </c>
      <c r="B163" s="248" t="s">
        <v>1059</v>
      </c>
      <c r="G163" s="4"/>
      <c r="H163" s="4"/>
      <c r="J163" s="4">
        <f t="shared" si="7"/>
        <v>47</v>
      </c>
      <c r="K163" s="254"/>
      <c r="L163" s="469"/>
      <c r="M163" s="465"/>
    </row>
    <row r="164" spans="1:13" x14ac:dyDescent="0.25">
      <c r="A164" s="4">
        <f t="shared" si="6"/>
        <v>48</v>
      </c>
      <c r="G164" s="4"/>
      <c r="H164" s="4"/>
      <c r="J164" s="4">
        <f t="shared" si="7"/>
        <v>48</v>
      </c>
      <c r="K164" s="254"/>
      <c r="L164" s="469"/>
      <c r="M164" s="465"/>
    </row>
    <row r="165" spans="1:13" x14ac:dyDescent="0.25">
      <c r="A165" s="4">
        <f t="shared" si="6"/>
        <v>49</v>
      </c>
      <c r="B165" s="250" t="s">
        <v>1060</v>
      </c>
      <c r="C165" s="217"/>
      <c r="D165" s="217"/>
      <c r="E165" s="217"/>
      <c r="F165" s="217"/>
      <c r="G165" s="133"/>
      <c r="H165" s="133"/>
      <c r="I165" s="466"/>
      <c r="J165" s="4">
        <f t="shared" si="7"/>
        <v>49</v>
      </c>
      <c r="K165" s="254"/>
      <c r="L165" s="469"/>
      <c r="M165" s="465"/>
    </row>
    <row r="166" spans="1:13" x14ac:dyDescent="0.25">
      <c r="A166" s="4">
        <f t="shared" si="6"/>
        <v>50</v>
      </c>
      <c r="B166" s="339"/>
      <c r="C166" s="217"/>
      <c r="D166" s="217"/>
      <c r="E166" s="217"/>
      <c r="F166" s="217"/>
      <c r="G166" s="133"/>
      <c r="H166" s="133"/>
      <c r="I166" s="468"/>
      <c r="J166" s="4">
        <f t="shared" si="7"/>
        <v>50</v>
      </c>
      <c r="K166" s="254"/>
      <c r="L166" s="469"/>
      <c r="M166" s="465"/>
    </row>
    <row r="167" spans="1:13" x14ac:dyDescent="0.25">
      <c r="A167" s="4">
        <f t="shared" si="6"/>
        <v>51</v>
      </c>
      <c r="B167" s="32" t="s">
        <v>1048</v>
      </c>
      <c r="C167" s="217"/>
      <c r="D167" s="217"/>
      <c r="E167" s="217"/>
      <c r="F167" s="217"/>
      <c r="G167" s="133"/>
      <c r="H167" s="133"/>
      <c r="I167" s="468"/>
      <c r="J167" s="4">
        <f t="shared" si="7"/>
        <v>51</v>
      </c>
      <c r="K167" s="254"/>
      <c r="L167" s="469"/>
      <c r="M167" s="465"/>
    </row>
    <row r="168" spans="1:13" x14ac:dyDescent="0.25">
      <c r="A168" s="4">
        <f t="shared" si="6"/>
        <v>52</v>
      </c>
      <c r="B168" s="31" t="s">
        <v>1556</v>
      </c>
      <c r="D168" s="217"/>
      <c r="E168" s="217"/>
      <c r="F168" s="217"/>
      <c r="G168" s="1123">
        <f>G156</f>
        <v>0</v>
      </c>
      <c r="H168" s="853"/>
      <c r="I168" s="90" t="s">
        <v>1558</v>
      </c>
      <c r="J168" s="4">
        <f t="shared" si="7"/>
        <v>52</v>
      </c>
      <c r="K168" s="254"/>
      <c r="L168" s="469"/>
      <c r="M168" s="465"/>
    </row>
    <row r="169" spans="1:13" x14ac:dyDescent="0.25">
      <c r="A169" s="4">
        <f t="shared" si="6"/>
        <v>53</v>
      </c>
      <c r="B169" s="31" t="s">
        <v>1062</v>
      </c>
      <c r="D169" s="217"/>
      <c r="E169" s="217"/>
      <c r="F169" s="217"/>
      <c r="G169" s="135">
        <v>0</v>
      </c>
      <c r="H169" s="853"/>
      <c r="I169" s="90" t="s">
        <v>1530</v>
      </c>
      <c r="J169" s="4">
        <f t="shared" si="7"/>
        <v>53</v>
      </c>
      <c r="K169" s="254"/>
      <c r="L169" s="469"/>
      <c r="M169" s="465"/>
    </row>
    <row r="170" spans="1:13" x14ac:dyDescent="0.25">
      <c r="A170" s="4">
        <f t="shared" si="6"/>
        <v>54</v>
      </c>
      <c r="B170" s="31" t="s">
        <v>1052</v>
      </c>
      <c r="D170" s="217"/>
      <c r="E170" s="217"/>
      <c r="F170" s="217"/>
      <c r="G170" s="1136">
        <f>G158</f>
        <v>0</v>
      </c>
      <c r="H170" s="1128"/>
      <c r="I170" s="90" t="s">
        <v>1559</v>
      </c>
      <c r="J170" s="4">
        <f t="shared" si="7"/>
        <v>54</v>
      </c>
      <c r="K170" s="254"/>
      <c r="L170" s="469"/>
      <c r="M170" s="465"/>
    </row>
    <row r="171" spans="1:13" x14ac:dyDescent="0.25">
      <c r="A171" s="4">
        <f t="shared" si="6"/>
        <v>55</v>
      </c>
      <c r="B171" s="31" t="s">
        <v>1053</v>
      </c>
      <c r="D171" s="217"/>
      <c r="E171" s="217"/>
      <c r="F171" s="217"/>
      <c r="G171" s="1125">
        <f>G159</f>
        <v>5726461.0020354921</v>
      </c>
      <c r="H171" s="866"/>
      <c r="I171" s="90" t="s">
        <v>1560</v>
      </c>
      <c r="J171" s="4">
        <f t="shared" si="7"/>
        <v>55</v>
      </c>
      <c r="K171" s="254"/>
      <c r="L171" s="469"/>
      <c r="M171" s="465"/>
    </row>
    <row r="172" spans="1:13" x14ac:dyDescent="0.25">
      <c r="A172" s="4">
        <f t="shared" si="6"/>
        <v>56</v>
      </c>
      <c r="B172" s="31" t="s">
        <v>1066</v>
      </c>
      <c r="D172" s="217"/>
      <c r="E172" s="217"/>
      <c r="F172" s="217"/>
      <c r="G172" s="1186">
        <f>G162</f>
        <v>0</v>
      </c>
      <c r="H172" s="1129"/>
      <c r="I172" s="90" t="s">
        <v>1561</v>
      </c>
      <c r="J172" s="4">
        <f t="shared" si="7"/>
        <v>56</v>
      </c>
      <c r="K172" s="254"/>
      <c r="L172" s="469"/>
      <c r="M172" s="465"/>
    </row>
    <row r="173" spans="1:13" x14ac:dyDescent="0.25">
      <c r="A173" s="4">
        <f t="shared" si="6"/>
        <v>57</v>
      </c>
      <c r="B173" s="31" t="s">
        <v>1068</v>
      </c>
      <c r="D173" s="217"/>
      <c r="E173" s="217"/>
      <c r="F173" s="217"/>
      <c r="G173" s="1126" t="s">
        <v>1069</v>
      </c>
      <c r="H173" s="217"/>
      <c r="I173" s="90" t="s">
        <v>1070</v>
      </c>
      <c r="J173" s="4">
        <f t="shared" si="7"/>
        <v>57</v>
      </c>
      <c r="K173" s="254"/>
      <c r="L173" s="469"/>
      <c r="M173" s="465"/>
    </row>
    <row r="174" spans="1:13" x14ac:dyDescent="0.25">
      <c r="A174" s="4">
        <f t="shared" si="6"/>
        <v>58</v>
      </c>
      <c r="B174" s="1"/>
      <c r="D174" s="217"/>
      <c r="E174" s="217"/>
      <c r="F174" s="217"/>
      <c r="G174" s="1130"/>
      <c r="H174" s="1130"/>
      <c r="I174" s="468"/>
      <c r="J174" s="4">
        <f t="shared" si="7"/>
        <v>58</v>
      </c>
      <c r="K174" s="254"/>
      <c r="L174" s="469"/>
      <c r="M174" s="465"/>
    </row>
    <row r="175" spans="1:13" x14ac:dyDescent="0.25">
      <c r="A175" s="4">
        <f t="shared" si="6"/>
        <v>59</v>
      </c>
      <c r="B175" s="31" t="s">
        <v>1071</v>
      </c>
      <c r="C175" s="4"/>
      <c r="D175" s="4"/>
      <c r="E175" s="217"/>
      <c r="F175" s="217"/>
      <c r="G175" s="1131">
        <f>IFERROR((((G168)+(G170/G171)+G162)*G173-(G169/G171))/(1-G173),0)</f>
        <v>0</v>
      </c>
      <c r="H175" s="1132"/>
      <c r="I175" s="90" t="s">
        <v>1072</v>
      </c>
      <c r="J175" s="4">
        <f t="shared" si="7"/>
        <v>59</v>
      </c>
      <c r="K175" s="254"/>
      <c r="L175" s="469"/>
      <c r="M175" s="465"/>
    </row>
    <row r="176" spans="1:13" x14ac:dyDescent="0.25">
      <c r="A176" s="4">
        <f t="shared" si="6"/>
        <v>60</v>
      </c>
      <c r="B176" s="248" t="s">
        <v>1347</v>
      </c>
      <c r="G176" s="4"/>
      <c r="H176" s="4"/>
      <c r="I176" s="90"/>
      <c r="J176" s="4">
        <f t="shared" si="7"/>
        <v>60</v>
      </c>
      <c r="K176" s="254"/>
      <c r="L176" s="469"/>
      <c r="M176" s="465"/>
    </row>
    <row r="177" spans="1:13" x14ac:dyDescent="0.25">
      <c r="A177" s="4">
        <f t="shared" si="6"/>
        <v>61</v>
      </c>
      <c r="G177" s="4"/>
      <c r="H177" s="4"/>
      <c r="I177" s="90"/>
      <c r="J177" s="4">
        <f t="shared" si="7"/>
        <v>61</v>
      </c>
      <c r="K177" s="254"/>
      <c r="L177" s="469"/>
      <c r="M177" s="465"/>
    </row>
    <row r="178" spans="1:13" x14ac:dyDescent="0.25">
      <c r="A178" s="4">
        <f t="shared" si="6"/>
        <v>62</v>
      </c>
      <c r="B178" s="250" t="s">
        <v>1550</v>
      </c>
      <c r="G178" s="1131">
        <f>G175+G162</f>
        <v>0</v>
      </c>
      <c r="H178" s="1127"/>
      <c r="I178" s="90" t="s">
        <v>1562</v>
      </c>
      <c r="J178" s="4">
        <f t="shared" si="7"/>
        <v>62</v>
      </c>
      <c r="K178" s="254"/>
      <c r="L178" s="469"/>
      <c r="M178" s="465"/>
    </row>
    <row r="179" spans="1:13" x14ac:dyDescent="0.25">
      <c r="A179" s="4">
        <f t="shared" si="6"/>
        <v>63</v>
      </c>
      <c r="G179" s="4"/>
      <c r="H179" s="4"/>
      <c r="I179" s="90"/>
      <c r="J179" s="4">
        <f t="shared" si="7"/>
        <v>63</v>
      </c>
      <c r="K179" s="254"/>
      <c r="L179" s="469"/>
      <c r="M179" s="465"/>
    </row>
    <row r="180" spans="1:13" x14ac:dyDescent="0.25">
      <c r="A180" s="4">
        <f t="shared" si="6"/>
        <v>64</v>
      </c>
      <c r="B180" s="250" t="s">
        <v>1563</v>
      </c>
      <c r="G180" s="1146">
        <f>G63</f>
        <v>0</v>
      </c>
      <c r="H180" s="217"/>
      <c r="I180" s="90" t="s">
        <v>1564</v>
      </c>
      <c r="J180" s="4">
        <f t="shared" si="7"/>
        <v>64</v>
      </c>
      <c r="K180" s="254"/>
      <c r="L180" s="469"/>
      <c r="M180" s="465"/>
    </row>
    <row r="181" spans="1:13" x14ac:dyDescent="0.25">
      <c r="A181" s="4">
        <f t="shared" si="6"/>
        <v>65</v>
      </c>
      <c r="G181" s="853"/>
      <c r="H181" s="853"/>
      <c r="I181" s="90"/>
      <c r="J181" s="4">
        <f t="shared" si="7"/>
        <v>65</v>
      </c>
      <c r="K181" s="254"/>
      <c r="L181" s="469"/>
      <c r="M181" s="465"/>
    </row>
    <row r="182" spans="1:13" ht="19.5" thickBot="1" x14ac:dyDescent="0.3">
      <c r="A182" s="4">
        <f t="shared" si="6"/>
        <v>66</v>
      </c>
      <c r="B182" s="250" t="s">
        <v>1565</v>
      </c>
      <c r="G182" s="1133">
        <f>G178+G180</f>
        <v>0</v>
      </c>
      <c r="H182" s="1132"/>
      <c r="I182" s="90" t="s">
        <v>1566</v>
      </c>
      <c r="J182" s="4">
        <f t="shared" si="7"/>
        <v>66</v>
      </c>
      <c r="K182" s="254"/>
      <c r="L182" s="469"/>
      <c r="M182" s="465"/>
    </row>
    <row r="183" spans="1:13" ht="16.5" thickTop="1" x14ac:dyDescent="0.25">
      <c r="B183" s="250"/>
      <c r="G183" s="26"/>
      <c r="H183" s="26"/>
      <c r="I183" s="90"/>
      <c r="J183" s="4"/>
      <c r="K183" s="254"/>
      <c r="L183" s="469"/>
      <c r="M183" s="465"/>
    </row>
    <row r="184" spans="1:13" x14ac:dyDescent="0.25">
      <c r="A184" s="71"/>
      <c r="B184" s="1"/>
      <c r="C184" s="471"/>
      <c r="D184" s="471"/>
      <c r="E184" s="471"/>
      <c r="F184" s="471"/>
      <c r="G184" s="74"/>
      <c r="H184" s="74"/>
      <c r="I184" s="472"/>
      <c r="J184" s="4"/>
    </row>
    <row r="185" spans="1:13" x14ac:dyDescent="0.25">
      <c r="B185" s="1316" t="s">
        <v>1342</v>
      </c>
      <c r="C185" s="1316"/>
      <c r="D185" s="1316"/>
      <c r="E185" s="1316"/>
      <c r="F185" s="1316"/>
      <c r="G185" s="1316"/>
      <c r="H185" s="1316"/>
      <c r="I185" s="1316"/>
      <c r="J185" s="4"/>
    </row>
    <row r="186" spans="1:13" x14ac:dyDescent="0.25">
      <c r="B186" s="1316" t="s">
        <v>984</v>
      </c>
      <c r="C186" s="1316"/>
      <c r="D186" s="1316"/>
      <c r="E186" s="1316"/>
      <c r="F186" s="1316"/>
      <c r="G186" s="1316"/>
      <c r="H186" s="1316"/>
      <c r="I186" s="1316"/>
      <c r="J186" s="4"/>
    </row>
    <row r="187" spans="1:13" x14ac:dyDescent="0.25">
      <c r="B187" s="1316" t="s">
        <v>985</v>
      </c>
      <c r="C187" s="1316"/>
      <c r="D187" s="1316"/>
      <c r="E187" s="1316"/>
      <c r="F187" s="1316"/>
      <c r="G187" s="1316"/>
      <c r="H187" s="1316"/>
      <c r="I187" s="1316"/>
      <c r="J187" s="4"/>
    </row>
    <row r="188" spans="1:13" x14ac:dyDescent="0.25">
      <c r="B188" s="1318" t="str">
        <f>B5</f>
        <v>Base Period &amp; True-Up Period 12 - Months Ending December 31, 2025</v>
      </c>
      <c r="C188" s="1318"/>
      <c r="D188" s="1318"/>
      <c r="E188" s="1318"/>
      <c r="F188" s="1318"/>
      <c r="G188" s="1318"/>
      <c r="H188" s="1318"/>
      <c r="I188" s="1318"/>
      <c r="J188" s="4"/>
    </row>
    <row r="189" spans="1:13" x14ac:dyDescent="0.25">
      <c r="B189" s="1312" t="s">
        <v>4</v>
      </c>
      <c r="C189" s="1313"/>
      <c r="D189" s="1313"/>
      <c r="E189" s="1313"/>
      <c r="F189" s="1313"/>
      <c r="G189" s="1313"/>
      <c r="H189" s="1313"/>
      <c r="I189" s="1313"/>
      <c r="J189" s="4"/>
    </row>
    <row r="190" spans="1:13" x14ac:dyDescent="0.25">
      <c r="B190" s="4"/>
      <c r="C190" s="4"/>
      <c r="D190" s="4"/>
      <c r="E190" s="4"/>
      <c r="F190" s="4"/>
      <c r="G190" s="217"/>
      <c r="H190" s="217"/>
      <c r="I190" s="90"/>
      <c r="J190" s="4"/>
    </row>
    <row r="191" spans="1:13" x14ac:dyDescent="0.25">
      <c r="A191" s="4" t="s">
        <v>5</v>
      </c>
      <c r="B191" s="217"/>
      <c r="C191" s="217"/>
      <c r="D191" s="217"/>
      <c r="E191" s="217"/>
      <c r="F191" s="217"/>
      <c r="G191" s="217"/>
      <c r="H191" s="217"/>
      <c r="I191" s="90"/>
      <c r="J191" s="4" t="s">
        <v>5</v>
      </c>
    </row>
    <row r="192" spans="1:13" x14ac:dyDescent="0.25">
      <c r="A192" s="4" t="s">
        <v>6</v>
      </c>
      <c r="B192" s="4"/>
      <c r="C192" s="4"/>
      <c r="D192" s="4"/>
      <c r="E192" s="4"/>
      <c r="F192" s="4"/>
      <c r="G192" s="848" t="s">
        <v>7</v>
      </c>
      <c r="H192" s="217"/>
      <c r="I192" s="850" t="s">
        <v>8</v>
      </c>
      <c r="J192" s="4" t="s">
        <v>6</v>
      </c>
    </row>
    <row r="193" spans="1:10" x14ac:dyDescent="0.25">
      <c r="G193" s="4"/>
      <c r="H193" s="4"/>
      <c r="I193" s="90"/>
      <c r="J193" s="4"/>
    </row>
    <row r="194" spans="1:10" ht="18.75" x14ac:dyDescent="0.25">
      <c r="A194" s="4">
        <v>1</v>
      </c>
      <c r="B194" s="250" t="s">
        <v>1567</v>
      </c>
      <c r="E194" s="217"/>
      <c r="F194" s="217"/>
      <c r="G194" s="41"/>
      <c r="H194" s="41"/>
      <c r="I194" s="90"/>
      <c r="J194" s="4">
        <f>A194</f>
        <v>1</v>
      </c>
    </row>
    <row r="195" spans="1:10" x14ac:dyDescent="0.25">
      <c r="A195" s="4">
        <f>A194+1</f>
        <v>2</v>
      </c>
      <c r="B195" s="33"/>
      <c r="E195" s="217"/>
      <c r="F195" s="217"/>
      <c r="G195" s="41"/>
      <c r="H195" s="41"/>
      <c r="I195" s="90"/>
      <c r="J195" s="4">
        <f>J194+1</f>
        <v>2</v>
      </c>
    </row>
    <row r="196" spans="1:10" x14ac:dyDescent="0.25">
      <c r="A196" s="4">
        <f>A195+1</f>
        <v>3</v>
      </c>
      <c r="B196" s="250" t="s">
        <v>1343</v>
      </c>
      <c r="E196" s="217"/>
      <c r="F196" s="217"/>
      <c r="G196" s="41"/>
      <c r="H196" s="41"/>
      <c r="I196" s="90"/>
      <c r="J196" s="4">
        <f>J195+1</f>
        <v>3</v>
      </c>
    </row>
    <row r="197" spans="1:10" x14ac:dyDescent="0.25">
      <c r="A197" s="4">
        <f>A196+1</f>
        <v>4</v>
      </c>
      <c r="B197" s="217"/>
      <c r="C197" s="217"/>
      <c r="D197" s="217"/>
      <c r="E197" s="217"/>
      <c r="F197" s="217"/>
      <c r="G197" s="41"/>
      <c r="H197" s="41"/>
      <c r="I197" s="90"/>
      <c r="J197" s="4">
        <f>J196+1</f>
        <v>4</v>
      </c>
    </row>
    <row r="198" spans="1:10" x14ac:dyDescent="0.25">
      <c r="A198" s="4">
        <f t="shared" ref="A198:A259" si="8">A197+1</f>
        <v>5</v>
      </c>
      <c r="B198" s="32" t="s">
        <v>1048</v>
      </c>
      <c r="C198" s="217"/>
      <c r="D198" s="217"/>
      <c r="E198" s="217"/>
      <c r="F198" s="217"/>
      <c r="G198" s="41"/>
      <c r="H198" s="41"/>
      <c r="I198" s="463"/>
      <c r="J198" s="4">
        <f t="shared" ref="J198:J259" si="9">J197+1</f>
        <v>5</v>
      </c>
    </row>
    <row r="199" spans="1:10" x14ac:dyDescent="0.25">
      <c r="A199" s="4">
        <f t="shared" si="8"/>
        <v>6</v>
      </c>
      <c r="B199" s="31" t="s">
        <v>1049</v>
      </c>
      <c r="D199" s="217"/>
      <c r="E199" s="217"/>
      <c r="F199" s="217"/>
      <c r="G199" s="132">
        <f>G89</f>
        <v>0</v>
      </c>
      <c r="H199" s="217"/>
      <c r="I199" s="90" t="s">
        <v>1568</v>
      </c>
      <c r="J199" s="4">
        <f t="shared" si="9"/>
        <v>6</v>
      </c>
    </row>
    <row r="200" spans="1:10" x14ac:dyDescent="0.25">
      <c r="A200" s="4">
        <f t="shared" si="8"/>
        <v>7</v>
      </c>
      <c r="B200" s="31" t="s">
        <v>1050</v>
      </c>
      <c r="D200" s="217"/>
      <c r="E200" s="217"/>
      <c r="F200" s="217"/>
      <c r="G200" s="135">
        <v>0</v>
      </c>
      <c r="H200" s="217"/>
      <c r="I200" s="90" t="s">
        <v>1075</v>
      </c>
      <c r="J200" s="4">
        <f t="shared" si="9"/>
        <v>7</v>
      </c>
    </row>
    <row r="201" spans="1:10" x14ac:dyDescent="0.25">
      <c r="A201" s="4">
        <f t="shared" si="8"/>
        <v>8</v>
      </c>
      <c r="B201" s="31" t="s">
        <v>1052</v>
      </c>
      <c r="D201" s="217"/>
      <c r="E201" s="217"/>
      <c r="F201" s="217"/>
      <c r="G201" s="109">
        <v>0</v>
      </c>
      <c r="H201" s="217"/>
      <c r="I201" s="420"/>
      <c r="J201" s="4">
        <f t="shared" si="9"/>
        <v>8</v>
      </c>
    </row>
    <row r="202" spans="1:10" x14ac:dyDescent="0.25">
      <c r="A202" s="4">
        <f t="shared" si="8"/>
        <v>9</v>
      </c>
      <c r="B202" s="31" t="s">
        <v>1076</v>
      </c>
      <c r="D202" s="217"/>
      <c r="E202" s="217"/>
      <c r="F202" s="217"/>
      <c r="G202" s="22">
        <f>'TO5 True-Up BK-1'!E141</f>
        <v>0</v>
      </c>
      <c r="H202" s="217"/>
      <c r="I202" s="90" t="s">
        <v>1348</v>
      </c>
      <c r="J202" s="4">
        <f t="shared" si="9"/>
        <v>9</v>
      </c>
    </row>
    <row r="203" spans="1:10" x14ac:dyDescent="0.25">
      <c r="A203" s="4">
        <f t="shared" si="8"/>
        <v>10</v>
      </c>
      <c r="B203" s="31" t="s">
        <v>1054</v>
      </c>
      <c r="D203" s="217"/>
      <c r="E203" s="217"/>
      <c r="F203" s="217"/>
      <c r="G203" s="1055">
        <f>G126</f>
        <v>0.21</v>
      </c>
      <c r="H203" s="217"/>
      <c r="I203" s="90" t="s">
        <v>1569</v>
      </c>
      <c r="J203" s="4">
        <f t="shared" si="9"/>
        <v>10</v>
      </c>
    </row>
    <row r="204" spans="1:10" x14ac:dyDescent="0.25">
      <c r="A204" s="4">
        <f t="shared" si="8"/>
        <v>11</v>
      </c>
      <c r="G204" s="4"/>
      <c r="H204" s="4"/>
      <c r="J204" s="4">
        <f t="shared" si="9"/>
        <v>11</v>
      </c>
    </row>
    <row r="205" spans="1:10" x14ac:dyDescent="0.25">
      <c r="A205" s="4">
        <f t="shared" si="8"/>
        <v>12</v>
      </c>
      <c r="B205" s="31" t="s">
        <v>1077</v>
      </c>
      <c r="D205" s="217"/>
      <c r="E205" s="217"/>
      <c r="F205" s="217"/>
      <c r="G205" s="1054">
        <f>IFERROR((((G199)+(G201/G202))*G203-(G200/G202))/(1-G203),0)</f>
        <v>0</v>
      </c>
      <c r="H205" s="26"/>
      <c r="I205" s="90" t="s">
        <v>1078</v>
      </c>
      <c r="J205" s="4">
        <f t="shared" si="9"/>
        <v>12</v>
      </c>
    </row>
    <row r="206" spans="1:10" x14ac:dyDescent="0.25">
      <c r="A206" s="4">
        <f t="shared" si="8"/>
        <v>13</v>
      </c>
      <c r="B206" s="248" t="s">
        <v>1059</v>
      </c>
      <c r="G206" s="27"/>
      <c r="H206" s="27"/>
      <c r="J206" s="4">
        <f t="shared" si="9"/>
        <v>13</v>
      </c>
    </row>
    <row r="207" spans="1:10" x14ac:dyDescent="0.25">
      <c r="A207" s="4">
        <f t="shared" si="8"/>
        <v>14</v>
      </c>
      <c r="G207" s="4"/>
      <c r="H207" s="4"/>
      <c r="J207" s="4">
        <f t="shared" si="9"/>
        <v>14</v>
      </c>
    </row>
    <row r="208" spans="1:10" x14ac:dyDescent="0.25">
      <c r="A208" s="4">
        <f t="shared" si="8"/>
        <v>15</v>
      </c>
      <c r="B208" s="250" t="s">
        <v>1060</v>
      </c>
      <c r="C208" s="217"/>
      <c r="D208" s="217"/>
      <c r="E208" s="217"/>
      <c r="F208" s="217"/>
      <c r="G208" s="133"/>
      <c r="H208" s="133"/>
      <c r="I208" s="466"/>
      <c r="J208" s="4">
        <f t="shared" si="9"/>
        <v>15</v>
      </c>
    </row>
    <row r="209" spans="1:10" x14ac:dyDescent="0.25">
      <c r="A209" s="4">
        <f t="shared" si="8"/>
        <v>16</v>
      </c>
      <c r="B209" s="339"/>
      <c r="C209" s="217"/>
      <c r="D209" s="217"/>
      <c r="E209" s="217"/>
      <c r="F209" s="217"/>
      <c r="G209" s="133"/>
      <c r="H209" s="133"/>
      <c r="I209" s="463"/>
      <c r="J209" s="4">
        <f t="shared" si="9"/>
        <v>16</v>
      </c>
    </row>
    <row r="210" spans="1:10" x14ac:dyDescent="0.25">
      <c r="A210" s="4">
        <f t="shared" si="8"/>
        <v>17</v>
      </c>
      <c r="B210" s="32" t="s">
        <v>1048</v>
      </c>
      <c r="C210" s="217"/>
      <c r="D210" s="217"/>
      <c r="E210" s="217"/>
      <c r="F210" s="217"/>
      <c r="G210" s="133"/>
      <c r="H210" s="133"/>
      <c r="I210" s="463"/>
      <c r="J210" s="4">
        <f t="shared" si="9"/>
        <v>17</v>
      </c>
    </row>
    <row r="211" spans="1:10" x14ac:dyDescent="0.25">
      <c r="A211" s="4">
        <f t="shared" si="8"/>
        <v>18</v>
      </c>
      <c r="B211" s="31" t="s">
        <v>1049</v>
      </c>
      <c r="D211" s="217"/>
      <c r="E211" s="217"/>
      <c r="F211" s="217"/>
      <c r="G211" s="132">
        <f>G199</f>
        <v>0</v>
      </c>
      <c r="H211" s="27"/>
      <c r="I211" s="90" t="s">
        <v>1061</v>
      </c>
      <c r="J211" s="4">
        <f t="shared" si="9"/>
        <v>18</v>
      </c>
    </row>
    <row r="212" spans="1:10" x14ac:dyDescent="0.25">
      <c r="A212" s="4">
        <f t="shared" si="8"/>
        <v>19</v>
      </c>
      <c r="B212" s="31" t="s">
        <v>1062</v>
      </c>
      <c r="D212" s="217"/>
      <c r="E212" s="217"/>
      <c r="F212" s="217"/>
      <c r="G212" s="135">
        <v>0</v>
      </c>
      <c r="H212" s="27"/>
      <c r="I212" s="90" t="s">
        <v>1075</v>
      </c>
      <c r="J212" s="4">
        <f t="shared" si="9"/>
        <v>19</v>
      </c>
    </row>
    <row r="213" spans="1:10" x14ac:dyDescent="0.25">
      <c r="A213" s="4">
        <f t="shared" si="8"/>
        <v>20</v>
      </c>
      <c r="B213" s="31" t="s">
        <v>1052</v>
      </c>
      <c r="D213" s="217"/>
      <c r="E213" s="217"/>
      <c r="F213" s="217"/>
      <c r="G213" s="22">
        <f>G201</f>
        <v>0</v>
      </c>
      <c r="H213" s="44"/>
      <c r="I213" s="90" t="s">
        <v>1064</v>
      </c>
      <c r="J213" s="4">
        <f t="shared" si="9"/>
        <v>20</v>
      </c>
    </row>
    <row r="214" spans="1:10" x14ac:dyDescent="0.25">
      <c r="A214" s="4">
        <f t="shared" si="8"/>
        <v>21</v>
      </c>
      <c r="B214" s="31" t="s">
        <v>1076</v>
      </c>
      <c r="D214" s="217"/>
      <c r="E214" s="217"/>
      <c r="F214" s="217"/>
      <c r="G214" s="22">
        <f>G202</f>
        <v>0</v>
      </c>
      <c r="H214" s="44"/>
      <c r="I214" s="90" t="s">
        <v>1065</v>
      </c>
      <c r="J214" s="4">
        <f t="shared" si="9"/>
        <v>21</v>
      </c>
    </row>
    <row r="215" spans="1:10" x14ac:dyDescent="0.25">
      <c r="A215" s="4">
        <f t="shared" si="8"/>
        <v>22</v>
      </c>
      <c r="B215" s="31" t="s">
        <v>1066</v>
      </c>
      <c r="D215" s="217"/>
      <c r="E215" s="217"/>
      <c r="F215" s="217"/>
      <c r="G215" s="1139">
        <f>G205</f>
        <v>0</v>
      </c>
      <c r="H215" s="26"/>
      <c r="I215" s="90" t="s">
        <v>1067</v>
      </c>
      <c r="J215" s="4">
        <f t="shared" si="9"/>
        <v>22</v>
      </c>
    </row>
    <row r="216" spans="1:10" x14ac:dyDescent="0.25">
      <c r="A216" s="4">
        <f t="shared" si="8"/>
        <v>23</v>
      </c>
      <c r="B216" s="31" t="s">
        <v>1068</v>
      </c>
      <c r="D216" s="217"/>
      <c r="E216" s="217"/>
      <c r="F216" s="217"/>
      <c r="G216" s="923" t="str">
        <f>G139</f>
        <v>8.84%</v>
      </c>
      <c r="H216" s="217"/>
      <c r="I216" s="90" t="s">
        <v>1570</v>
      </c>
      <c r="J216" s="4">
        <f t="shared" si="9"/>
        <v>23</v>
      </c>
    </row>
    <row r="217" spans="1:10" x14ac:dyDescent="0.25">
      <c r="A217" s="4">
        <f t="shared" si="8"/>
        <v>24</v>
      </c>
      <c r="B217" s="1"/>
      <c r="D217" s="217"/>
      <c r="E217" s="217"/>
      <c r="F217" s="217"/>
      <c r="G217" s="134"/>
      <c r="H217" s="134"/>
      <c r="I217" s="468"/>
      <c r="J217" s="4">
        <f t="shared" si="9"/>
        <v>24</v>
      </c>
    </row>
    <row r="218" spans="1:10" x14ac:dyDescent="0.25">
      <c r="A218" s="4">
        <f t="shared" si="8"/>
        <v>25</v>
      </c>
      <c r="B218" s="31" t="s">
        <v>1071</v>
      </c>
      <c r="C218" s="4"/>
      <c r="D218" s="4"/>
      <c r="E218" s="217"/>
      <c r="F218" s="217"/>
      <c r="G218" s="1054">
        <f>IFERROR((((G211)+(G213/G214)+G205)*G216-(G212/G214))/(1-G216),0)</f>
        <v>0</v>
      </c>
      <c r="H218" s="26"/>
      <c r="I218" s="90" t="s">
        <v>1072</v>
      </c>
      <c r="J218" s="4">
        <f t="shared" si="9"/>
        <v>25</v>
      </c>
    </row>
    <row r="219" spans="1:10" x14ac:dyDescent="0.25">
      <c r="A219" s="4">
        <f t="shared" si="8"/>
        <v>26</v>
      </c>
      <c r="B219" s="248" t="s">
        <v>1347</v>
      </c>
      <c r="G219" s="4"/>
      <c r="H219" s="4"/>
      <c r="I219" s="90"/>
      <c r="J219" s="4">
        <f t="shared" si="9"/>
        <v>26</v>
      </c>
    </row>
    <row r="220" spans="1:10" x14ac:dyDescent="0.25">
      <c r="A220" s="4">
        <f t="shared" si="8"/>
        <v>27</v>
      </c>
      <c r="G220" s="4"/>
      <c r="H220" s="4"/>
      <c r="I220" s="90"/>
      <c r="J220" s="4">
        <f t="shared" si="9"/>
        <v>27</v>
      </c>
    </row>
    <row r="221" spans="1:10" x14ac:dyDescent="0.25">
      <c r="A221" s="4">
        <f t="shared" si="8"/>
        <v>28</v>
      </c>
      <c r="B221" s="250" t="s">
        <v>1550</v>
      </c>
      <c r="G221" s="1054">
        <f>G218+G205</f>
        <v>0</v>
      </c>
      <c r="H221" s="26"/>
      <c r="I221" s="90" t="s">
        <v>1074</v>
      </c>
      <c r="J221" s="4">
        <f t="shared" si="9"/>
        <v>28</v>
      </c>
    </row>
    <row r="222" spans="1:10" x14ac:dyDescent="0.25">
      <c r="A222" s="4">
        <f t="shared" si="8"/>
        <v>29</v>
      </c>
      <c r="G222" s="4"/>
      <c r="H222" s="4"/>
      <c r="I222" s="90"/>
      <c r="J222" s="4">
        <f t="shared" si="9"/>
        <v>29</v>
      </c>
    </row>
    <row r="223" spans="1:10" x14ac:dyDescent="0.25">
      <c r="A223" s="4">
        <f t="shared" si="8"/>
        <v>30</v>
      </c>
      <c r="B223" s="250" t="s">
        <v>1571</v>
      </c>
      <c r="G223" s="867">
        <f>G87</f>
        <v>1.9821485143531346E-2</v>
      </c>
      <c r="H223" s="217"/>
      <c r="I223" s="90" t="s">
        <v>1572</v>
      </c>
      <c r="J223" s="4">
        <f t="shared" si="9"/>
        <v>30</v>
      </c>
    </row>
    <row r="224" spans="1:10" x14ac:dyDescent="0.25">
      <c r="A224" s="4">
        <f t="shared" si="8"/>
        <v>31</v>
      </c>
      <c r="G224" s="4"/>
      <c r="H224" s="4"/>
      <c r="I224" s="90"/>
      <c r="J224" s="4">
        <f t="shared" si="9"/>
        <v>31</v>
      </c>
    </row>
    <row r="225" spans="1:11" ht="19.5" thickBot="1" x14ac:dyDescent="0.3">
      <c r="A225" s="4">
        <f t="shared" si="8"/>
        <v>32</v>
      </c>
      <c r="B225" s="250" t="s">
        <v>1573</v>
      </c>
      <c r="G225" s="1122">
        <f>G221+G223</f>
        <v>1.9821485143531346E-2</v>
      </c>
      <c r="H225" s="26"/>
      <c r="I225" s="90" t="s">
        <v>1554</v>
      </c>
      <c r="J225" s="4">
        <f t="shared" si="9"/>
        <v>32</v>
      </c>
    </row>
    <row r="226" spans="1:11" ht="17.25" thickTop="1" thickBot="1" x14ac:dyDescent="0.3">
      <c r="A226" s="861">
        <f t="shared" si="8"/>
        <v>33</v>
      </c>
      <c r="B226" s="1117"/>
      <c r="C226" s="862"/>
      <c r="D226" s="862"/>
      <c r="E226" s="862"/>
      <c r="F226" s="862"/>
      <c r="G226" s="1134"/>
      <c r="H226" s="1134"/>
      <c r="I226" s="863"/>
      <c r="J226" s="861">
        <f t="shared" si="9"/>
        <v>33</v>
      </c>
      <c r="K226" s="254"/>
    </row>
    <row r="227" spans="1:11" x14ac:dyDescent="0.25">
      <c r="A227" s="4">
        <f t="shared" si="8"/>
        <v>34</v>
      </c>
      <c r="B227" s="250"/>
      <c r="G227" s="26"/>
      <c r="H227" s="26"/>
      <c r="I227" s="90"/>
      <c r="J227" s="4">
        <f t="shared" si="9"/>
        <v>34</v>
      </c>
      <c r="K227" s="254"/>
    </row>
    <row r="228" spans="1:11" ht="18.75" x14ac:dyDescent="0.25">
      <c r="A228" s="4">
        <f t="shared" si="8"/>
        <v>35</v>
      </c>
      <c r="B228" s="250" t="s">
        <v>1555</v>
      </c>
      <c r="E228" s="217"/>
      <c r="F228" s="217"/>
      <c r="G228" s="41"/>
      <c r="H228" s="41"/>
      <c r="I228" s="90"/>
      <c r="J228" s="4">
        <f t="shared" si="9"/>
        <v>35</v>
      </c>
      <c r="K228" s="254"/>
    </row>
    <row r="229" spans="1:11" x14ac:dyDescent="0.25">
      <c r="A229" s="4">
        <f t="shared" si="8"/>
        <v>36</v>
      </c>
      <c r="B229" s="33"/>
      <c r="E229" s="217"/>
      <c r="F229" s="217"/>
      <c r="G229" s="41"/>
      <c r="H229" s="41"/>
      <c r="I229" s="90"/>
      <c r="J229" s="4">
        <f t="shared" si="9"/>
        <v>36</v>
      </c>
      <c r="K229" s="254"/>
    </row>
    <row r="230" spans="1:11" x14ac:dyDescent="0.25">
      <c r="A230" s="4">
        <f t="shared" si="8"/>
        <v>37</v>
      </c>
      <c r="B230" s="250" t="s">
        <v>1047</v>
      </c>
      <c r="E230" s="217"/>
      <c r="F230" s="217"/>
      <c r="G230" s="41"/>
      <c r="H230" s="41"/>
      <c r="I230" s="90"/>
      <c r="J230" s="4">
        <f t="shared" si="9"/>
        <v>37</v>
      </c>
      <c r="K230" s="254"/>
    </row>
    <row r="231" spans="1:11" x14ac:dyDescent="0.25">
      <c r="A231" s="4">
        <f t="shared" si="8"/>
        <v>38</v>
      </c>
      <c r="B231" s="217"/>
      <c r="C231" s="217"/>
      <c r="D231" s="217"/>
      <c r="E231" s="217"/>
      <c r="F231" s="217"/>
      <c r="G231" s="41"/>
      <c r="H231" s="41"/>
      <c r="I231" s="90"/>
      <c r="J231" s="4">
        <f t="shared" si="9"/>
        <v>38</v>
      </c>
      <c r="K231" s="254"/>
    </row>
    <row r="232" spans="1:11" x14ac:dyDescent="0.25">
      <c r="A232" s="4">
        <f t="shared" si="8"/>
        <v>39</v>
      </c>
      <c r="B232" s="32" t="s">
        <v>1048</v>
      </c>
      <c r="C232" s="217"/>
      <c r="D232" s="217"/>
      <c r="E232" s="217"/>
      <c r="F232" s="217"/>
      <c r="G232" s="41"/>
      <c r="H232" s="41"/>
      <c r="I232" s="463"/>
      <c r="J232" s="4">
        <f t="shared" si="9"/>
        <v>39</v>
      </c>
      <c r="K232" s="254"/>
    </row>
    <row r="233" spans="1:11" x14ac:dyDescent="0.25">
      <c r="A233" s="4">
        <f t="shared" si="8"/>
        <v>40</v>
      </c>
      <c r="B233" s="31" t="s">
        <v>1556</v>
      </c>
      <c r="D233" s="217"/>
      <c r="E233" s="217"/>
      <c r="F233" s="217"/>
      <c r="G233" s="1123">
        <f>G102</f>
        <v>0</v>
      </c>
      <c r="H233" s="217"/>
      <c r="I233" s="90" t="s">
        <v>1574</v>
      </c>
      <c r="J233" s="4">
        <f t="shared" si="9"/>
        <v>40</v>
      </c>
      <c r="K233" s="254"/>
    </row>
    <row r="234" spans="1:11" x14ac:dyDescent="0.25">
      <c r="A234" s="4">
        <f t="shared" si="8"/>
        <v>41</v>
      </c>
      <c r="B234" s="31" t="s">
        <v>1050</v>
      </c>
      <c r="D234" s="217"/>
      <c r="E234" s="217"/>
      <c r="F234" s="217"/>
      <c r="G234" s="1124">
        <v>0</v>
      </c>
      <c r="H234" s="217"/>
      <c r="I234" s="90" t="s">
        <v>1075</v>
      </c>
      <c r="J234" s="4">
        <f t="shared" si="9"/>
        <v>41</v>
      </c>
      <c r="K234" s="254"/>
    </row>
    <row r="235" spans="1:11" x14ac:dyDescent="0.25">
      <c r="A235" s="4">
        <f t="shared" si="8"/>
        <v>42</v>
      </c>
      <c r="B235" s="31" t="s">
        <v>1052</v>
      </c>
      <c r="D235" s="217"/>
      <c r="E235" s="217"/>
      <c r="F235" s="217"/>
      <c r="G235" s="1135">
        <v>0</v>
      </c>
      <c r="H235" s="217"/>
      <c r="I235" s="420"/>
      <c r="J235" s="4">
        <f t="shared" si="9"/>
        <v>42</v>
      </c>
      <c r="K235" s="254"/>
    </row>
    <row r="236" spans="1:11" x14ac:dyDescent="0.25">
      <c r="A236" s="4">
        <f t="shared" si="8"/>
        <v>43</v>
      </c>
      <c r="B236" s="31" t="s">
        <v>1076</v>
      </c>
      <c r="D236" s="217"/>
      <c r="E236" s="217"/>
      <c r="F236" s="217"/>
      <c r="G236" s="1136">
        <f>'TO5 True-Up BK-1'!E141</f>
        <v>0</v>
      </c>
      <c r="H236" s="217"/>
      <c r="I236" s="90" t="s">
        <v>1348</v>
      </c>
      <c r="J236" s="4">
        <f t="shared" si="9"/>
        <v>43</v>
      </c>
      <c r="K236" s="254"/>
    </row>
    <row r="237" spans="1:11" x14ac:dyDescent="0.25">
      <c r="A237" s="4">
        <f t="shared" si="8"/>
        <v>44</v>
      </c>
      <c r="B237" s="31" t="s">
        <v>1054</v>
      </c>
      <c r="D237" s="217"/>
      <c r="E237" s="217"/>
      <c r="F237" s="217"/>
      <c r="G237" s="1137" t="str">
        <f>G160</f>
        <v>21%</v>
      </c>
      <c r="H237" s="217"/>
      <c r="I237" s="90" t="s">
        <v>1575</v>
      </c>
      <c r="J237" s="4">
        <f t="shared" si="9"/>
        <v>44</v>
      </c>
      <c r="K237" s="254"/>
    </row>
    <row r="238" spans="1:11" x14ac:dyDescent="0.25">
      <c r="A238" s="4">
        <f t="shared" si="8"/>
        <v>45</v>
      </c>
      <c r="G238" s="4"/>
      <c r="H238" s="4"/>
      <c r="J238" s="4">
        <f t="shared" si="9"/>
        <v>45</v>
      </c>
      <c r="K238" s="254"/>
    </row>
    <row r="239" spans="1:11" x14ac:dyDescent="0.25">
      <c r="A239" s="4">
        <f t="shared" si="8"/>
        <v>46</v>
      </c>
      <c r="B239" s="31" t="s">
        <v>1057</v>
      </c>
      <c r="D239" s="217"/>
      <c r="E239" s="217"/>
      <c r="F239" s="217"/>
      <c r="G239" s="1131">
        <f>IFERROR((((G233)+(G235/G236))*G237-(G234/G236))/(1-G237),0)</f>
        <v>0</v>
      </c>
      <c r="H239" s="1127"/>
      <c r="I239" s="90" t="s">
        <v>1078</v>
      </c>
      <c r="J239" s="4">
        <f t="shared" si="9"/>
        <v>46</v>
      </c>
      <c r="K239" s="254"/>
    </row>
    <row r="240" spans="1:11" x14ac:dyDescent="0.25">
      <c r="A240" s="4">
        <f t="shared" si="8"/>
        <v>47</v>
      </c>
      <c r="B240" s="248" t="s">
        <v>1059</v>
      </c>
      <c r="D240" s="248"/>
      <c r="G240" s="864"/>
      <c r="H240" s="864"/>
      <c r="J240" s="4">
        <f t="shared" si="9"/>
        <v>47</v>
      </c>
      <c r="K240" s="254"/>
    </row>
    <row r="241" spans="1:11" x14ac:dyDescent="0.25">
      <c r="A241" s="4">
        <f t="shared" si="8"/>
        <v>48</v>
      </c>
      <c r="G241" s="4"/>
      <c r="H241" s="4"/>
      <c r="J241" s="4">
        <f t="shared" si="9"/>
        <v>48</v>
      </c>
      <c r="K241" s="254"/>
    </row>
    <row r="242" spans="1:11" x14ac:dyDescent="0.25">
      <c r="A242" s="4">
        <f t="shared" si="8"/>
        <v>49</v>
      </c>
      <c r="B242" s="250" t="s">
        <v>1060</v>
      </c>
      <c r="C242" s="217"/>
      <c r="D242" s="217"/>
      <c r="E242" s="217"/>
      <c r="F242" s="217"/>
      <c r="G242" s="133"/>
      <c r="H242" s="133"/>
      <c r="I242" s="466"/>
      <c r="J242" s="4">
        <f t="shared" si="9"/>
        <v>49</v>
      </c>
      <c r="K242" s="254"/>
    </row>
    <row r="243" spans="1:11" x14ac:dyDescent="0.25">
      <c r="A243" s="4">
        <f t="shared" si="8"/>
        <v>50</v>
      </c>
      <c r="B243" s="339"/>
      <c r="C243" s="217"/>
      <c r="D243" s="217"/>
      <c r="E243" s="217"/>
      <c r="F243" s="217"/>
      <c r="G243" s="133"/>
      <c r="H243" s="133"/>
      <c r="I243" s="463"/>
      <c r="J243" s="4">
        <f t="shared" si="9"/>
        <v>50</v>
      </c>
      <c r="K243" s="254"/>
    </row>
    <row r="244" spans="1:11" x14ac:dyDescent="0.25">
      <c r="A244" s="4">
        <f t="shared" si="8"/>
        <v>51</v>
      </c>
      <c r="B244" s="32" t="s">
        <v>1048</v>
      </c>
      <c r="C244" s="217"/>
      <c r="D244" s="217"/>
      <c r="E244" s="217"/>
      <c r="F244" s="217"/>
      <c r="G244" s="133"/>
      <c r="H244" s="133"/>
      <c r="I244" s="463"/>
      <c r="J244" s="4">
        <f t="shared" si="9"/>
        <v>51</v>
      </c>
      <c r="K244" s="254"/>
    </row>
    <row r="245" spans="1:11" x14ac:dyDescent="0.25">
      <c r="A245" s="4">
        <f t="shared" si="8"/>
        <v>52</v>
      </c>
      <c r="B245" s="31" t="s">
        <v>1556</v>
      </c>
      <c r="D245" s="217"/>
      <c r="E245" s="217"/>
      <c r="F245" s="217"/>
      <c r="G245" s="1123">
        <f>G233</f>
        <v>0</v>
      </c>
      <c r="H245" s="853"/>
      <c r="I245" s="90" t="s">
        <v>1558</v>
      </c>
      <c r="J245" s="4">
        <f t="shared" si="9"/>
        <v>52</v>
      </c>
      <c r="K245" s="254"/>
    </row>
    <row r="246" spans="1:11" x14ac:dyDescent="0.25">
      <c r="A246" s="4">
        <f t="shared" si="8"/>
        <v>53</v>
      </c>
      <c r="B246" s="31" t="s">
        <v>1062</v>
      </c>
      <c r="D246" s="217"/>
      <c r="E246" s="217"/>
      <c r="F246" s="217"/>
      <c r="G246" s="135">
        <v>0</v>
      </c>
      <c r="H246" s="27"/>
      <c r="I246" s="90" t="s">
        <v>1075</v>
      </c>
      <c r="J246" s="4">
        <f t="shared" si="9"/>
        <v>53</v>
      </c>
      <c r="K246" s="254"/>
    </row>
    <row r="247" spans="1:11" x14ac:dyDescent="0.25">
      <c r="A247" s="4">
        <f t="shared" si="8"/>
        <v>54</v>
      </c>
      <c r="B247" s="31" t="s">
        <v>1052</v>
      </c>
      <c r="D247" s="217"/>
      <c r="E247" s="217"/>
      <c r="F247" s="217"/>
      <c r="G247" s="1136">
        <f>G235</f>
        <v>0</v>
      </c>
      <c r="H247" s="1128"/>
      <c r="I247" s="90" t="s">
        <v>1559</v>
      </c>
      <c r="J247" s="4">
        <f t="shared" si="9"/>
        <v>54</v>
      </c>
      <c r="K247" s="254"/>
    </row>
    <row r="248" spans="1:11" x14ac:dyDescent="0.25">
      <c r="A248" s="4">
        <f t="shared" si="8"/>
        <v>55</v>
      </c>
      <c r="B248" s="31" t="s">
        <v>1076</v>
      </c>
      <c r="D248" s="217"/>
      <c r="E248" s="217"/>
      <c r="F248" s="217"/>
      <c r="G248" s="1136">
        <f>G236</f>
        <v>0</v>
      </c>
      <c r="H248" s="1128"/>
      <c r="I248" s="90" t="s">
        <v>1560</v>
      </c>
      <c r="J248" s="4">
        <f t="shared" si="9"/>
        <v>55</v>
      </c>
      <c r="K248" s="254"/>
    </row>
    <row r="249" spans="1:11" x14ac:dyDescent="0.25">
      <c r="A249" s="4">
        <f t="shared" si="8"/>
        <v>56</v>
      </c>
      <c r="B249" s="31" t="s">
        <v>1066</v>
      </c>
      <c r="D249" s="217"/>
      <c r="E249" s="217"/>
      <c r="F249" s="217"/>
      <c r="G249" s="1186">
        <f>G239</f>
        <v>0</v>
      </c>
      <c r="H249" s="1129"/>
      <c r="I249" s="90" t="s">
        <v>1561</v>
      </c>
      <c r="J249" s="4">
        <f t="shared" si="9"/>
        <v>56</v>
      </c>
      <c r="K249" s="254"/>
    </row>
    <row r="250" spans="1:11" x14ac:dyDescent="0.25">
      <c r="A250" s="4">
        <f t="shared" si="8"/>
        <v>57</v>
      </c>
      <c r="B250" s="31" t="s">
        <v>1068</v>
      </c>
      <c r="D250" s="217"/>
      <c r="E250" s="217"/>
      <c r="F250" s="217"/>
      <c r="G250" s="1138" t="str">
        <f>G173</f>
        <v>8.84%</v>
      </c>
      <c r="H250" s="217"/>
      <c r="I250" s="90" t="s">
        <v>1576</v>
      </c>
      <c r="J250" s="4">
        <f t="shared" si="9"/>
        <v>57</v>
      </c>
      <c r="K250" s="254"/>
    </row>
    <row r="251" spans="1:11" x14ac:dyDescent="0.25">
      <c r="A251" s="4">
        <f t="shared" si="8"/>
        <v>58</v>
      </c>
      <c r="B251" s="1"/>
      <c r="D251" s="217"/>
      <c r="E251" s="217"/>
      <c r="F251" s="217"/>
      <c r="G251" s="1130"/>
      <c r="H251" s="1130"/>
      <c r="I251" s="468"/>
      <c r="J251" s="4">
        <f t="shared" si="9"/>
        <v>58</v>
      </c>
      <c r="K251" s="254"/>
    </row>
    <row r="252" spans="1:11" x14ac:dyDescent="0.25">
      <c r="A252" s="4">
        <f t="shared" si="8"/>
        <v>59</v>
      </c>
      <c r="B252" s="31" t="s">
        <v>1071</v>
      </c>
      <c r="C252" s="4"/>
      <c r="D252" s="4"/>
      <c r="E252" s="217"/>
      <c r="F252" s="217"/>
      <c r="G252" s="1131">
        <f>IFERROR((((G245)+(G247/G248)+G239)*G250-(G246/G248))/(1-G250),0)</f>
        <v>0</v>
      </c>
      <c r="H252" s="1132"/>
      <c r="I252" s="90" t="s">
        <v>1072</v>
      </c>
      <c r="J252" s="4">
        <f t="shared" si="9"/>
        <v>59</v>
      </c>
      <c r="K252" s="254"/>
    </row>
    <row r="253" spans="1:11" x14ac:dyDescent="0.25">
      <c r="A253" s="4">
        <f t="shared" si="8"/>
        <v>60</v>
      </c>
      <c r="B253" s="248" t="s">
        <v>1347</v>
      </c>
      <c r="D253" s="248"/>
      <c r="G253" s="4"/>
      <c r="H253" s="4"/>
      <c r="I253" s="90"/>
      <c r="J253" s="4">
        <f t="shared" si="9"/>
        <v>60</v>
      </c>
      <c r="K253" s="254"/>
    </row>
    <row r="254" spans="1:11" x14ac:dyDescent="0.25">
      <c r="A254" s="4">
        <f t="shared" si="8"/>
        <v>61</v>
      </c>
      <c r="G254" s="4"/>
      <c r="H254" s="4"/>
      <c r="I254" s="90"/>
      <c r="J254" s="4">
        <f t="shared" si="9"/>
        <v>61</v>
      </c>
      <c r="K254" s="254"/>
    </row>
    <row r="255" spans="1:11" x14ac:dyDescent="0.25">
      <c r="A255" s="4">
        <f t="shared" si="8"/>
        <v>62</v>
      </c>
      <c r="B255" s="250" t="s">
        <v>1550</v>
      </c>
      <c r="G255" s="1131">
        <f>G252+G239</f>
        <v>0</v>
      </c>
      <c r="H255" s="1127"/>
      <c r="I255" s="90" t="s">
        <v>1562</v>
      </c>
      <c r="J255" s="4">
        <f t="shared" si="9"/>
        <v>62</v>
      </c>
      <c r="K255" s="254"/>
    </row>
    <row r="256" spans="1:11" x14ac:dyDescent="0.25">
      <c r="A256" s="4">
        <f t="shared" si="8"/>
        <v>63</v>
      </c>
      <c r="G256" s="4"/>
      <c r="H256" s="4"/>
      <c r="I256" s="90"/>
      <c r="J256" s="4">
        <f t="shared" si="9"/>
        <v>63</v>
      </c>
      <c r="K256" s="254"/>
    </row>
    <row r="257" spans="1:11" x14ac:dyDescent="0.25">
      <c r="A257" s="4">
        <f t="shared" si="8"/>
        <v>64</v>
      </c>
      <c r="B257" s="250" t="s">
        <v>1563</v>
      </c>
      <c r="G257" s="867">
        <f>G100</f>
        <v>0</v>
      </c>
      <c r="H257" s="217"/>
      <c r="I257" s="90" t="s">
        <v>1577</v>
      </c>
      <c r="J257" s="4">
        <f t="shared" si="9"/>
        <v>64</v>
      </c>
      <c r="K257" s="254"/>
    </row>
    <row r="258" spans="1:11" x14ac:dyDescent="0.25">
      <c r="A258" s="4">
        <f t="shared" si="8"/>
        <v>65</v>
      </c>
      <c r="G258" s="4"/>
      <c r="H258" s="4"/>
      <c r="I258" s="90"/>
      <c r="J258" s="4">
        <f t="shared" si="9"/>
        <v>65</v>
      </c>
      <c r="K258" s="254"/>
    </row>
    <row r="259" spans="1:11" ht="19.5" thickBot="1" x14ac:dyDescent="0.3">
      <c r="A259" s="4">
        <f t="shared" si="8"/>
        <v>66</v>
      </c>
      <c r="B259" s="250" t="s">
        <v>1565</v>
      </c>
      <c r="G259" s="1122">
        <f>G255+G257</f>
        <v>0</v>
      </c>
      <c r="H259" s="26"/>
      <c r="I259" s="90" t="s">
        <v>1566</v>
      </c>
      <c r="J259" s="4">
        <f t="shared" si="9"/>
        <v>66</v>
      </c>
      <c r="K259" s="254"/>
    </row>
    <row r="260" spans="1:11" ht="16.5" thickTop="1" x14ac:dyDescent="0.25">
      <c r="K260" s="254"/>
    </row>
    <row r="261" spans="1:11" ht="18.75" x14ac:dyDescent="0.25">
      <c r="A261" s="265">
        <v>1</v>
      </c>
      <c r="B261" s="31" t="s">
        <v>1578</v>
      </c>
      <c r="K261" s="254"/>
    </row>
    <row r="262" spans="1:11" x14ac:dyDescent="0.25">
      <c r="K262" s="254"/>
    </row>
    <row r="263" spans="1:11" x14ac:dyDescent="0.25">
      <c r="K263" s="254"/>
    </row>
    <row r="264" spans="1:11" x14ac:dyDescent="0.25">
      <c r="K264" s="254"/>
    </row>
    <row r="265" spans="1:11" x14ac:dyDescent="0.25">
      <c r="K265" s="254"/>
    </row>
    <row r="266" spans="1:11" x14ac:dyDescent="0.25">
      <c r="K266" s="254"/>
    </row>
    <row r="267" spans="1:11" x14ac:dyDescent="0.25">
      <c r="K267" s="254"/>
    </row>
    <row r="268" spans="1:11" x14ac:dyDescent="0.25">
      <c r="K268" s="254"/>
    </row>
    <row r="269" spans="1:11" x14ac:dyDescent="0.25">
      <c r="K269" s="254"/>
    </row>
    <row r="271" spans="1:11" ht="18.75" x14ac:dyDescent="0.25">
      <c r="A271" s="265"/>
    </row>
  </sheetData>
  <mergeCells count="20">
    <mergeCell ref="B109:I109"/>
    <mergeCell ref="B2:I2"/>
    <mergeCell ref="B3:I3"/>
    <mergeCell ref="B4:I4"/>
    <mergeCell ref="B5:I5"/>
    <mergeCell ref="B6:I6"/>
    <mergeCell ref="B70:I70"/>
    <mergeCell ref="B71:I71"/>
    <mergeCell ref="B72:I72"/>
    <mergeCell ref="B73:I73"/>
    <mergeCell ref="B74:I74"/>
    <mergeCell ref="B108:I108"/>
    <mergeCell ref="B188:I188"/>
    <mergeCell ref="B189:I189"/>
    <mergeCell ref="B110:I110"/>
    <mergeCell ref="B111:I111"/>
    <mergeCell ref="B112:I112"/>
    <mergeCell ref="B185:I185"/>
    <mergeCell ref="B186:I186"/>
    <mergeCell ref="B187:I187"/>
  </mergeCells>
  <printOptions horizontalCentered="1"/>
  <pageMargins left="0.25" right="0.25" top="0.5" bottom="0.65" header="0.25" footer="0.25"/>
  <pageSetup scale="56" orientation="portrait" r:id="rId1"/>
  <headerFooter scaleWithDoc="0" alignWithMargins="0">
    <oddFooter>&amp;C&amp;"Times New Roman,Regular"&amp;10&amp;A
Page &amp;P of &amp;N</oddFooter>
  </headerFooter>
  <rowBreaks count="3" manualBreakCount="3">
    <brk id="68" max="16383" man="1"/>
    <brk id="106" max="16383" man="1"/>
    <brk id="183" max="9" man="1"/>
  </rowBreaks>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M45"/>
  <sheetViews>
    <sheetView zoomScale="80" zoomScaleNormal="80" workbookViewId="0">
      <selection activeCell="F31" sqref="F31"/>
    </sheetView>
  </sheetViews>
  <sheetFormatPr defaultColWidth="9.28515625" defaultRowHeight="15.75" x14ac:dyDescent="0.25"/>
  <cols>
    <col min="1" max="1" width="5.28515625" style="217" customWidth="1"/>
    <col min="2" max="2" width="41.5703125" style="1" customWidth="1"/>
    <col min="3" max="3" width="18.5703125" style="86" customWidth="1"/>
    <col min="4" max="4" width="2.42578125" style="86" customWidth="1"/>
    <col min="5" max="5" width="25.28515625" style="86" customWidth="1"/>
    <col min="6" max="6" width="18.5703125" style="1" customWidth="1"/>
    <col min="7" max="7" width="3" style="1" bestFit="1" customWidth="1"/>
    <col min="8" max="8" width="62.5703125" style="1" customWidth="1"/>
    <col min="9" max="9" width="5.28515625" style="217" customWidth="1"/>
    <col min="10" max="10" width="24" style="1" customWidth="1"/>
    <col min="11" max="11" width="11" style="1" customWidth="1"/>
    <col min="12" max="12" width="9.7109375" style="1" customWidth="1"/>
    <col min="13" max="13" width="9.28515625" style="1" customWidth="1"/>
    <col min="14" max="14" width="14" style="1" customWidth="1"/>
    <col min="15" max="15" width="13.42578125" style="1" customWidth="1"/>
    <col min="16" max="16384" width="9.28515625" style="1"/>
  </cols>
  <sheetData>
    <row r="2" spans="1:13" x14ac:dyDescent="0.25">
      <c r="B2" s="1316" t="s">
        <v>0</v>
      </c>
      <c r="C2" s="1316"/>
      <c r="D2" s="1316"/>
      <c r="E2" s="1316"/>
      <c r="F2" s="1316"/>
      <c r="G2" s="1316"/>
      <c r="H2" s="1316"/>
    </row>
    <row r="3" spans="1:13" x14ac:dyDescent="0.25">
      <c r="B3" s="1316" t="s">
        <v>255</v>
      </c>
      <c r="C3" s="1316"/>
      <c r="D3" s="1316"/>
      <c r="E3" s="1316"/>
      <c r="F3" s="1316"/>
      <c r="G3" s="1316"/>
      <c r="H3" s="1316"/>
    </row>
    <row r="4" spans="1:13" x14ac:dyDescent="0.25">
      <c r="B4" s="1316" t="s">
        <v>256</v>
      </c>
      <c r="C4" s="1316"/>
      <c r="D4" s="1316"/>
      <c r="E4" s="1316"/>
      <c r="F4" s="1316"/>
      <c r="G4" s="1316"/>
      <c r="H4" s="1316"/>
    </row>
    <row r="5" spans="1:13" x14ac:dyDescent="0.25">
      <c r="B5" s="1316" t="str">
        <f>'AD-1'!B5</f>
        <v>BASE PERIOD / TRUE UP PERIOD - 12/31/2025 PER BOOK</v>
      </c>
      <c r="C5" s="1316"/>
      <c r="D5" s="1316"/>
      <c r="E5" s="1316"/>
      <c r="F5" s="1316"/>
      <c r="G5" s="1316"/>
      <c r="H5" s="1316"/>
    </row>
    <row r="6" spans="1:13" x14ac:dyDescent="0.25">
      <c r="B6" s="1312" t="s">
        <v>4</v>
      </c>
      <c r="C6" s="1312"/>
      <c r="D6" s="1312"/>
      <c r="E6" s="1312"/>
      <c r="F6" s="1312"/>
      <c r="G6" s="1312"/>
      <c r="H6" s="1312"/>
    </row>
    <row r="7" spans="1:13" x14ac:dyDescent="0.25">
      <c r="B7" s="266"/>
      <c r="C7" s="267"/>
      <c r="D7" s="267"/>
      <c r="E7" s="267"/>
      <c r="F7" s="266"/>
      <c r="G7" s="266"/>
      <c r="H7" s="266"/>
    </row>
    <row r="8" spans="1:13" x14ac:dyDescent="0.25">
      <c r="B8" s="1316" t="s">
        <v>294</v>
      </c>
      <c r="C8" s="1316"/>
      <c r="D8" s="1316"/>
      <c r="E8" s="1316"/>
      <c r="F8" s="1316"/>
      <c r="G8" s="1316"/>
      <c r="H8" s="1316"/>
    </row>
    <row r="9" spans="1:13" x14ac:dyDescent="0.25">
      <c r="C9" s="946" t="s">
        <v>1829</v>
      </c>
      <c r="E9" s="299" t="s">
        <v>1830</v>
      </c>
      <c r="F9" s="927" t="s">
        <v>1831</v>
      </c>
    </row>
    <row r="10" spans="1:13" x14ac:dyDescent="0.25">
      <c r="B10" s="924"/>
      <c r="C10" s="261" t="s">
        <v>180</v>
      </c>
      <c r="D10" s="1077"/>
      <c r="E10" s="925"/>
      <c r="F10" s="261"/>
      <c r="G10" s="268"/>
      <c r="H10" s="925"/>
    </row>
    <row r="11" spans="1:13" x14ac:dyDescent="0.25">
      <c r="B11" s="269"/>
      <c r="C11" s="217" t="s">
        <v>295</v>
      </c>
      <c r="D11" s="217"/>
      <c r="E11" s="269"/>
      <c r="F11" s="217" t="s">
        <v>295</v>
      </c>
      <c r="G11" s="273"/>
      <c r="H11" s="269"/>
      <c r="I11" s="4"/>
    </row>
    <row r="12" spans="1:13" x14ac:dyDescent="0.25">
      <c r="A12" s="4" t="s">
        <v>5</v>
      </c>
      <c r="B12" s="272"/>
      <c r="C12" s="217" t="s">
        <v>291</v>
      </c>
      <c r="D12" s="217"/>
      <c r="E12" s="269"/>
      <c r="F12" s="217" t="s">
        <v>291</v>
      </c>
      <c r="G12" s="273"/>
      <c r="H12" s="269"/>
      <c r="I12" s="4" t="s">
        <v>5</v>
      </c>
    </row>
    <row r="13" spans="1:13" ht="18.75" x14ac:dyDescent="0.25">
      <c r="A13" s="4" t="s">
        <v>6</v>
      </c>
      <c r="B13" s="274" t="s">
        <v>260</v>
      </c>
      <c r="C13" s="927" t="s">
        <v>261</v>
      </c>
      <c r="D13" s="927"/>
      <c r="E13" s="274" t="s">
        <v>8</v>
      </c>
      <c r="F13" s="927" t="s">
        <v>262</v>
      </c>
      <c r="G13" s="275"/>
      <c r="H13" s="274" t="s">
        <v>8</v>
      </c>
      <c r="I13" s="4" t="s">
        <v>6</v>
      </c>
    </row>
    <row r="14" spans="1:13" x14ac:dyDescent="0.25">
      <c r="A14" s="4">
        <v>1</v>
      </c>
      <c r="B14" s="928" t="str">
        <f>'AD-1'!B14</f>
        <v>Dec-24</v>
      </c>
      <c r="C14" s="43">
        <v>8967652.0871585738</v>
      </c>
      <c r="D14" s="1086" t="s">
        <v>2062</v>
      </c>
      <c r="E14" s="938" t="s">
        <v>263</v>
      </c>
      <c r="F14" s="43">
        <v>8778188.7216047179</v>
      </c>
      <c r="G14" s="1086" t="s">
        <v>2062</v>
      </c>
      <c r="H14" s="938" t="s">
        <v>264</v>
      </c>
      <c r="I14" s="4">
        <f>A14</f>
        <v>1</v>
      </c>
      <c r="J14" s="276"/>
      <c r="M14" s="86"/>
    </row>
    <row r="15" spans="1:13" x14ac:dyDescent="0.25">
      <c r="A15" s="4">
        <f>A14+1</f>
        <v>2</v>
      </c>
      <c r="B15" s="928" t="str">
        <f>'AD-1'!B15</f>
        <v>Jan-25</v>
      </c>
      <c r="C15" s="6">
        <v>8986373.25251556</v>
      </c>
      <c r="D15" s="6"/>
      <c r="E15" s="940"/>
      <c r="F15" s="6">
        <v>8796909.535689801</v>
      </c>
      <c r="G15" s="65"/>
      <c r="H15" s="940"/>
      <c r="I15" s="4">
        <f>I14+1</f>
        <v>2</v>
      </c>
      <c r="J15" s="86"/>
      <c r="M15" s="86"/>
    </row>
    <row r="16" spans="1:13" x14ac:dyDescent="0.25">
      <c r="A16" s="4">
        <f t="shared" ref="A16:A32" si="0">A15+1</f>
        <v>3</v>
      </c>
      <c r="B16" s="931" t="s">
        <v>265</v>
      </c>
      <c r="C16" s="6">
        <v>8995966.9872445595</v>
      </c>
      <c r="D16" s="6"/>
      <c r="E16" s="940"/>
      <c r="F16" s="6">
        <v>8804980.4732437991</v>
      </c>
      <c r="G16" s="65"/>
      <c r="H16" s="940"/>
      <c r="I16" s="4">
        <f t="shared" ref="I16:I26" si="1">I15+1</f>
        <v>3</v>
      </c>
      <c r="J16" s="86"/>
      <c r="M16" s="86"/>
    </row>
    <row r="17" spans="1:13" x14ac:dyDescent="0.25">
      <c r="A17" s="4">
        <f t="shared" si="0"/>
        <v>4</v>
      </c>
      <c r="B17" s="931" t="s">
        <v>266</v>
      </c>
      <c r="C17" s="6">
        <v>8975621.2587322686</v>
      </c>
      <c r="D17" s="6"/>
      <c r="E17" s="940"/>
      <c r="F17" s="6">
        <v>8784615.7643215079</v>
      </c>
      <c r="G17" s="65"/>
      <c r="H17" s="940"/>
      <c r="I17" s="4">
        <f t="shared" si="1"/>
        <v>4</v>
      </c>
      <c r="J17" s="86"/>
      <c r="M17" s="86"/>
    </row>
    <row r="18" spans="1:13" x14ac:dyDescent="0.25">
      <c r="A18" s="4">
        <f t="shared" si="0"/>
        <v>5</v>
      </c>
      <c r="B18" s="931" t="s">
        <v>267</v>
      </c>
      <c r="C18" s="6">
        <v>9002017.9334193114</v>
      </c>
      <c r="D18" s="6"/>
      <c r="E18" s="940"/>
      <c r="F18" s="6">
        <v>8811033.8896585517</v>
      </c>
      <c r="G18" s="65"/>
      <c r="H18" s="940"/>
      <c r="I18" s="4">
        <f t="shared" si="1"/>
        <v>5</v>
      </c>
      <c r="J18" s="86"/>
      <c r="M18" s="86"/>
    </row>
    <row r="19" spans="1:13" x14ac:dyDescent="0.25">
      <c r="A19" s="4">
        <f t="shared" si="0"/>
        <v>6</v>
      </c>
      <c r="B19" s="931" t="s">
        <v>268</v>
      </c>
      <c r="C19" s="6">
        <v>9046732.6262946203</v>
      </c>
      <c r="D19" s="6"/>
      <c r="E19" s="940"/>
      <c r="F19" s="6">
        <v>8855771.5991013609</v>
      </c>
      <c r="G19" s="65"/>
      <c r="H19" s="940"/>
      <c r="I19" s="4">
        <f t="shared" si="1"/>
        <v>6</v>
      </c>
      <c r="J19" s="86"/>
      <c r="M19" s="86"/>
    </row>
    <row r="20" spans="1:13" x14ac:dyDescent="0.25">
      <c r="A20" s="4">
        <f>A19+1</f>
        <v>7</v>
      </c>
      <c r="B20" s="931" t="s">
        <v>269</v>
      </c>
      <c r="C20" s="6">
        <v>9075024.9880726971</v>
      </c>
      <c r="D20" s="6"/>
      <c r="E20" s="940"/>
      <c r="F20" s="6">
        <v>8884063.9608794376</v>
      </c>
      <c r="G20" s="65"/>
      <c r="H20" s="940"/>
      <c r="I20" s="4">
        <f>I19+1</f>
        <v>7</v>
      </c>
      <c r="J20" s="86"/>
      <c r="M20" s="86"/>
    </row>
    <row r="21" spans="1:13" x14ac:dyDescent="0.25">
      <c r="A21" s="4">
        <f t="shared" si="0"/>
        <v>8</v>
      </c>
      <c r="B21" s="931" t="s">
        <v>270</v>
      </c>
      <c r="C21" s="6">
        <v>9205191.9451088347</v>
      </c>
      <c r="D21" s="6"/>
      <c r="E21" s="940"/>
      <c r="F21" s="6">
        <v>9014230.9179155752</v>
      </c>
      <c r="G21" s="65"/>
      <c r="H21" s="940"/>
      <c r="I21" s="4">
        <f t="shared" si="1"/>
        <v>8</v>
      </c>
      <c r="J21" s="86"/>
      <c r="M21" s="86"/>
    </row>
    <row r="22" spans="1:13" x14ac:dyDescent="0.25">
      <c r="A22" s="4">
        <f t="shared" si="0"/>
        <v>9</v>
      </c>
      <c r="B22" s="931" t="s">
        <v>271</v>
      </c>
      <c r="C22" s="6">
        <v>9247270.2286414932</v>
      </c>
      <c r="D22" s="6"/>
      <c r="E22" s="940"/>
      <c r="F22" s="6">
        <v>9056309.2014482338</v>
      </c>
      <c r="G22" s="65"/>
      <c r="H22" s="940"/>
      <c r="I22" s="4">
        <f t="shared" si="1"/>
        <v>9</v>
      </c>
      <c r="J22" s="86"/>
      <c r="M22" s="86"/>
    </row>
    <row r="23" spans="1:13" x14ac:dyDescent="0.25">
      <c r="A23" s="4">
        <f t="shared" si="0"/>
        <v>10</v>
      </c>
      <c r="B23" s="931" t="s">
        <v>272</v>
      </c>
      <c r="C23" s="6">
        <v>9255279.0790717714</v>
      </c>
      <c r="D23" s="6"/>
      <c r="E23" s="940"/>
      <c r="F23" s="6">
        <v>9064318.0518785119</v>
      </c>
      <c r="G23" s="65"/>
      <c r="H23" s="940"/>
      <c r="I23" s="4">
        <f t="shared" si="1"/>
        <v>10</v>
      </c>
      <c r="J23" s="86"/>
      <c r="M23" s="86"/>
    </row>
    <row r="24" spans="1:13" x14ac:dyDescent="0.25">
      <c r="A24" s="4">
        <f t="shared" si="0"/>
        <v>11</v>
      </c>
      <c r="B24" s="931" t="s">
        <v>273</v>
      </c>
      <c r="C24" s="6">
        <v>9290251.9533099588</v>
      </c>
      <c r="D24" s="6"/>
      <c r="E24" s="940"/>
      <c r="F24" s="6">
        <v>9099290.9261166994</v>
      </c>
      <c r="G24" s="65"/>
      <c r="H24" s="940"/>
      <c r="I24" s="4">
        <f t="shared" si="1"/>
        <v>11</v>
      </c>
      <c r="J24" s="86"/>
      <c r="M24" s="86"/>
    </row>
    <row r="25" spans="1:13" x14ac:dyDescent="0.25">
      <c r="A25" s="4">
        <f t="shared" si="0"/>
        <v>12</v>
      </c>
      <c r="B25" s="931" t="s">
        <v>274</v>
      </c>
      <c r="C25" s="6">
        <v>9351396.3893400077</v>
      </c>
      <c r="D25" s="6"/>
      <c r="E25" s="940"/>
      <c r="F25" s="6">
        <v>9160619.4547667466</v>
      </c>
      <c r="G25" s="65"/>
      <c r="H25" s="940"/>
      <c r="I25" s="4">
        <f t="shared" si="1"/>
        <v>12</v>
      </c>
      <c r="J25" s="86"/>
      <c r="M25" s="86"/>
    </row>
    <row r="26" spans="1:13" x14ac:dyDescent="0.25">
      <c r="A26" s="4">
        <f t="shared" si="0"/>
        <v>13</v>
      </c>
      <c r="B26" s="629" t="str">
        <f>'AD-1'!B26</f>
        <v>Dec-25</v>
      </c>
      <c r="C26" s="875">
        <v>9389168.0250800084</v>
      </c>
      <c r="D26" s="875"/>
      <c r="E26" s="290" t="s">
        <v>263</v>
      </c>
      <c r="F26" s="875">
        <v>9219832.7923967484</v>
      </c>
      <c r="G26" s="627"/>
      <c r="H26" s="938" t="s">
        <v>275</v>
      </c>
      <c r="I26" s="4">
        <f t="shared" si="1"/>
        <v>13</v>
      </c>
      <c r="J26" s="276"/>
      <c r="M26" s="86"/>
    </row>
    <row r="27" spans="1:13" x14ac:dyDescent="0.25">
      <c r="A27" s="4">
        <f t="shared" si="0"/>
        <v>14</v>
      </c>
      <c r="B27" s="277"/>
      <c r="D27" s="1078"/>
      <c r="E27" s="941"/>
      <c r="F27" s="86"/>
      <c r="G27" s="60"/>
      <c r="H27" s="924"/>
      <c r="I27" s="4">
        <f t="shared" ref="I27:I32" si="2">I26+1</f>
        <v>14</v>
      </c>
    </row>
    <row r="28" spans="1:13" x14ac:dyDescent="0.25">
      <c r="A28" s="4">
        <f t="shared" si="0"/>
        <v>15</v>
      </c>
      <c r="B28" s="277" t="s">
        <v>276</v>
      </c>
      <c r="C28" s="43">
        <f>SUM(C14:C26)</f>
        <v>118787946.75398967</v>
      </c>
      <c r="D28" s="43"/>
      <c r="E28" s="939" t="s">
        <v>277</v>
      </c>
      <c r="F28" s="43">
        <f>SUM(F14:F26)</f>
        <v>116330165.28902172</v>
      </c>
      <c r="G28" s="55"/>
      <c r="H28" s="939" t="s">
        <v>277</v>
      </c>
      <c r="I28" s="4">
        <f t="shared" si="2"/>
        <v>15</v>
      </c>
    </row>
    <row r="29" spans="1:13" x14ac:dyDescent="0.25">
      <c r="A29" s="4">
        <f t="shared" si="0"/>
        <v>16</v>
      </c>
      <c r="B29" s="116"/>
      <c r="C29" s="1079"/>
      <c r="D29" s="1079"/>
      <c r="E29" s="81"/>
      <c r="F29" s="1079"/>
      <c r="G29" s="56"/>
      <c r="H29" s="81"/>
      <c r="I29" s="4">
        <f t="shared" si="2"/>
        <v>16</v>
      </c>
    </row>
    <row r="30" spans="1:13" x14ac:dyDescent="0.25">
      <c r="A30" s="4">
        <f t="shared" si="0"/>
        <v>17</v>
      </c>
      <c r="B30" s="277"/>
      <c r="E30" s="942"/>
      <c r="F30" s="86"/>
      <c r="G30" s="60"/>
      <c r="H30" s="942"/>
      <c r="I30" s="4">
        <f t="shared" si="2"/>
        <v>17</v>
      </c>
    </row>
    <row r="31" spans="1:13" x14ac:dyDescent="0.25">
      <c r="A31" s="4">
        <f t="shared" si="0"/>
        <v>18</v>
      </c>
      <c r="B31" s="277" t="s">
        <v>278</v>
      </c>
      <c r="C31" s="43">
        <f>C28/13</f>
        <v>9137534.3656915128</v>
      </c>
      <c r="D31" s="43"/>
      <c r="E31" s="939" t="s">
        <v>279</v>
      </c>
      <c r="F31" s="43">
        <f>F28/13</f>
        <v>8948474.2530016713</v>
      </c>
      <c r="G31" s="1086" t="s">
        <v>2062</v>
      </c>
      <c r="H31" s="938" t="s">
        <v>280</v>
      </c>
      <c r="I31" s="4">
        <f t="shared" si="2"/>
        <v>18</v>
      </c>
      <c r="J31" s="276"/>
    </row>
    <row r="32" spans="1:13" x14ac:dyDescent="0.25">
      <c r="A32" s="4">
        <f t="shared" si="0"/>
        <v>19</v>
      </c>
      <c r="B32" s="116"/>
      <c r="C32" s="1080"/>
      <c r="D32" s="1080"/>
      <c r="E32" s="291"/>
      <c r="F32" s="1080"/>
      <c r="G32" s="278"/>
      <c r="H32" s="291"/>
      <c r="I32" s="4">
        <f t="shared" si="2"/>
        <v>19</v>
      </c>
    </row>
    <row r="33" spans="1:12" x14ac:dyDescent="0.25">
      <c r="A33" s="4">
        <f>A32+1</f>
        <v>20</v>
      </c>
      <c r="B33" s="31"/>
      <c r="C33" s="31"/>
      <c r="D33" s="31"/>
      <c r="E33" s="31"/>
      <c r="F33" s="31"/>
      <c r="G33" s="31"/>
      <c r="H33" s="31"/>
      <c r="I33" s="4">
        <f>I32+1</f>
        <v>20</v>
      </c>
    </row>
    <row r="34" spans="1:12" x14ac:dyDescent="0.25">
      <c r="A34" s="4">
        <f>A33+1</f>
        <v>21</v>
      </c>
      <c r="B34" s="31" t="s">
        <v>1913</v>
      </c>
      <c r="C34" s="31"/>
      <c r="D34" s="31"/>
      <c r="E34" s="31"/>
      <c r="F34" s="1246">
        <f>F31/C31</f>
        <v>0.97930950460775268</v>
      </c>
      <c r="G34" s="31"/>
      <c r="H34" s="4" t="s">
        <v>1828</v>
      </c>
      <c r="I34" s="4">
        <f>I33+1</f>
        <v>21</v>
      </c>
      <c r="K34" s="414"/>
      <c r="L34" s="276"/>
    </row>
    <row r="35" spans="1:12" x14ac:dyDescent="0.25">
      <c r="A35" s="4"/>
      <c r="B35" s="31"/>
      <c r="C35" s="31"/>
      <c r="D35" s="31"/>
      <c r="E35" s="31"/>
      <c r="F35" s="1246"/>
      <c r="G35" s="31"/>
      <c r="H35" s="4"/>
      <c r="I35" s="4"/>
      <c r="K35" s="414"/>
      <c r="L35" s="276"/>
    </row>
    <row r="36" spans="1:12" x14ac:dyDescent="0.25">
      <c r="A36" s="1086" t="s">
        <v>2062</v>
      </c>
      <c r="B36" s="1087" t="str">
        <f>'Stmt AD'!B48</f>
        <v xml:space="preserve">Items in BOLD do not tie to the TO6 Cycle 2 included in the Offer of Settlement filing per ER25-270-002 and/or the 2025 FERC Form 1 filed on April 17, 2026 due to AFUDC adjustments made in </v>
      </c>
      <c r="E36" s="31"/>
      <c r="F36" s="105"/>
      <c r="G36" s="105"/>
      <c r="H36" s="31"/>
    </row>
    <row r="37" spans="1:12" x14ac:dyDescent="0.25">
      <c r="A37" s="1086"/>
      <c r="B37" s="1087" t="str">
        <f>'Stmt AD'!B49</f>
        <v>response to settlement negotiations and other adjustments from the Transmission Project Review process.</v>
      </c>
      <c r="E37" s="31"/>
      <c r="F37" s="105"/>
      <c r="G37" s="105"/>
      <c r="H37" s="31"/>
    </row>
    <row r="38" spans="1:12" ht="18.75" x14ac:dyDescent="0.25">
      <c r="A38" s="265">
        <v>1</v>
      </c>
      <c r="B38" s="31" t="s">
        <v>281</v>
      </c>
      <c r="C38" s="31"/>
      <c r="D38" s="31"/>
      <c r="E38" s="31"/>
      <c r="F38" s="31"/>
      <c r="G38" s="31"/>
      <c r="H38" s="31"/>
    </row>
    <row r="39" spans="1:12" x14ac:dyDescent="0.25">
      <c r="B39" s="31" t="s">
        <v>282</v>
      </c>
      <c r="C39" s="292"/>
      <c r="D39" s="292"/>
      <c r="E39" s="31"/>
      <c r="F39" s="31"/>
      <c r="G39" s="31"/>
      <c r="H39" s="31"/>
    </row>
    <row r="40" spans="1:12" ht="18.75" x14ac:dyDescent="0.25">
      <c r="A40" s="265"/>
      <c r="B40" s="31"/>
      <c r="C40" s="31"/>
      <c r="D40" s="31"/>
      <c r="E40" s="31"/>
      <c r="F40" s="31"/>
      <c r="G40" s="31"/>
      <c r="H40" s="31"/>
    </row>
    <row r="41" spans="1:12" x14ac:dyDescent="0.25">
      <c r="B41" s="31"/>
      <c r="C41" s="31"/>
      <c r="D41" s="31"/>
      <c r="E41" s="31"/>
      <c r="F41" s="31"/>
      <c r="G41" s="31"/>
      <c r="H41" s="31"/>
    </row>
    <row r="42" spans="1:12" x14ac:dyDescent="0.25">
      <c r="A42" s="261"/>
      <c r="C42" s="31"/>
      <c r="D42" s="31"/>
      <c r="E42" s="1"/>
    </row>
    <row r="45" spans="1:12" x14ac:dyDescent="0.25">
      <c r="A45" s="261"/>
    </row>
  </sheetData>
  <mergeCells count="6">
    <mergeCell ref="B8:H8"/>
    <mergeCell ref="B2:H2"/>
    <mergeCell ref="B3:H3"/>
    <mergeCell ref="B4:H4"/>
    <mergeCell ref="B5:H5"/>
    <mergeCell ref="B6:H6"/>
  </mergeCells>
  <printOptions horizontalCentered="1"/>
  <pageMargins left="0.25" right="0.25" top="0.5" bottom="0.5" header="0.25" footer="0.25"/>
  <pageSetup scale="65" orientation="landscape" r:id="rId1"/>
  <headerFooter scaleWithDoc="0">
    <oddFooter>&amp;C&amp;"Times New Roman,Regular"&amp;10&amp;A</oddFooter>
  </headerFooter>
  <customProperties>
    <customPr name="_pios_id" r:id="rId2"/>
  </customPropertie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E4218-D95F-492B-B718-905A5C76C3EF}">
  <sheetPr>
    <pageSetUpPr fitToPage="1"/>
  </sheetPr>
  <dimension ref="A1:H22"/>
  <sheetViews>
    <sheetView zoomScale="80" zoomScaleNormal="80" workbookViewId="0">
      <selection activeCell="E16" sqref="E16"/>
    </sheetView>
  </sheetViews>
  <sheetFormatPr defaultColWidth="8.85546875" defaultRowHeight="15.75" x14ac:dyDescent="0.25"/>
  <cols>
    <col min="1" max="1" width="5.140625" style="4" customWidth="1"/>
    <col min="2" max="2" width="50.85546875" style="31" customWidth="1"/>
    <col min="3" max="3" width="21.140625" style="31" customWidth="1"/>
    <col min="4" max="4" width="1.5703125" style="31" customWidth="1"/>
    <col min="5" max="5" width="16.85546875" style="31" customWidth="1"/>
    <col min="6" max="6" width="1.5703125" style="31" customWidth="1"/>
    <col min="7" max="7" width="34.5703125" style="31" customWidth="1"/>
    <col min="8" max="8" width="5.140625" style="31" customWidth="1"/>
    <col min="9" max="9" width="8.85546875" style="31"/>
    <col min="10" max="10" width="20.42578125" style="31" bestFit="1" customWidth="1"/>
    <col min="11" max="16384" width="8.85546875" style="31"/>
  </cols>
  <sheetData>
    <row r="1" spans="1:8" x14ac:dyDescent="0.25">
      <c r="E1" s="70"/>
      <c r="F1" s="70"/>
      <c r="G1" s="4"/>
      <c r="H1" s="4"/>
    </row>
    <row r="2" spans="1:8" x14ac:dyDescent="0.25">
      <c r="B2" s="1316" t="s">
        <v>0</v>
      </c>
      <c r="C2" s="1316"/>
      <c r="D2" s="1316"/>
      <c r="E2" s="1316"/>
      <c r="F2" s="1316"/>
      <c r="G2" s="1316"/>
      <c r="H2" s="4"/>
    </row>
    <row r="3" spans="1:8" x14ac:dyDescent="0.25">
      <c r="B3" s="1316" t="s">
        <v>1103</v>
      </c>
      <c r="C3" s="1316"/>
      <c r="D3" s="1316"/>
      <c r="E3" s="1317"/>
      <c r="F3" s="1317"/>
      <c r="G3" s="1317"/>
      <c r="H3" s="4"/>
    </row>
    <row r="4" spans="1:8" x14ac:dyDescent="0.25">
      <c r="B4" s="1318" t="s">
        <v>2037</v>
      </c>
      <c r="C4" s="1318"/>
      <c r="D4" s="1318"/>
      <c r="E4" s="1318"/>
      <c r="F4" s="1318"/>
      <c r="G4" s="1318"/>
      <c r="H4" s="4"/>
    </row>
    <row r="5" spans="1:8" x14ac:dyDescent="0.25">
      <c r="B5" s="1312" t="s">
        <v>4</v>
      </c>
      <c r="C5" s="1313"/>
      <c r="D5" s="1313"/>
      <c r="E5" s="1313"/>
      <c r="F5" s="1313"/>
      <c r="G5" s="1313"/>
      <c r="H5" s="4"/>
    </row>
    <row r="6" spans="1:8" x14ac:dyDescent="0.25">
      <c r="B6" s="4"/>
      <c r="C6" s="4"/>
      <c r="D6" s="4"/>
      <c r="E6" s="4"/>
      <c r="F6" s="4"/>
      <c r="G6" s="4"/>
      <c r="H6" s="4"/>
    </row>
    <row r="7" spans="1:8" x14ac:dyDescent="0.25">
      <c r="A7" s="4" t="s">
        <v>5</v>
      </c>
      <c r="B7" s="336"/>
      <c r="C7" s="4" t="s">
        <v>210</v>
      </c>
      <c r="D7" s="217"/>
      <c r="E7" s="217"/>
      <c r="F7" s="217"/>
      <c r="G7" s="4"/>
      <c r="H7" s="4" t="s">
        <v>5</v>
      </c>
    </row>
    <row r="8" spans="1:8" x14ac:dyDescent="0.25">
      <c r="A8" s="4" t="s">
        <v>6</v>
      </c>
      <c r="B8" s="4"/>
      <c r="C8" s="848" t="s">
        <v>212</v>
      </c>
      <c r="D8" s="217"/>
      <c r="E8" s="848" t="s">
        <v>7</v>
      </c>
      <c r="F8" s="217"/>
      <c r="G8" s="848" t="s">
        <v>8</v>
      </c>
      <c r="H8" s="4" t="s">
        <v>6</v>
      </c>
    </row>
    <row r="9" spans="1:8" x14ac:dyDescent="0.25">
      <c r="C9" s="4"/>
      <c r="D9" s="4"/>
      <c r="F9" s="217"/>
      <c r="H9" s="4"/>
    </row>
    <row r="10" spans="1:8" ht="19.5" thickBot="1" x14ac:dyDescent="0.3">
      <c r="A10" s="4">
        <v>1</v>
      </c>
      <c r="B10" s="32" t="s">
        <v>1104</v>
      </c>
      <c r="E10" s="91">
        <v>0</v>
      </c>
      <c r="F10" s="217"/>
      <c r="G10" s="4"/>
      <c r="H10" s="4">
        <f>A10</f>
        <v>1</v>
      </c>
    </row>
    <row r="11" spans="1:8" ht="16.5" thickTop="1" x14ac:dyDescent="0.25">
      <c r="A11" s="4">
        <f>A10+1</f>
        <v>2</v>
      </c>
      <c r="F11" s="217"/>
      <c r="H11" s="4">
        <f>+H10+1</f>
        <v>2</v>
      </c>
    </row>
    <row r="12" spans="1:8" ht="19.5" thickBot="1" x14ac:dyDescent="0.3">
      <c r="A12" s="4">
        <f t="shared" ref="A12:A18" si="0">A11+1</f>
        <v>3</v>
      </c>
      <c r="B12" s="32" t="s">
        <v>1105</v>
      </c>
      <c r="E12" s="91">
        <v>0</v>
      </c>
      <c r="F12" s="217"/>
      <c r="G12" s="4"/>
      <c r="H12" s="4">
        <f t="shared" ref="H12:H18" si="1">+H11+1</f>
        <v>3</v>
      </c>
    </row>
    <row r="13" spans="1:8" ht="16.5" thickTop="1" x14ac:dyDescent="0.25">
      <c r="A13" s="4">
        <f t="shared" si="0"/>
        <v>4</v>
      </c>
      <c r="F13" s="217"/>
      <c r="H13" s="4">
        <f t="shared" si="1"/>
        <v>4</v>
      </c>
    </row>
    <row r="14" spans="1:8" ht="19.5" thickBot="1" x14ac:dyDescent="0.3">
      <c r="A14" s="4">
        <f t="shared" si="0"/>
        <v>5</v>
      </c>
      <c r="B14" s="32" t="s">
        <v>1106</v>
      </c>
      <c r="E14" s="91">
        <v>0</v>
      </c>
      <c r="F14" s="217"/>
      <c r="G14" s="4"/>
      <c r="H14" s="4">
        <f t="shared" si="1"/>
        <v>5</v>
      </c>
    </row>
    <row r="15" spans="1:8" ht="16.5" thickTop="1" x14ac:dyDescent="0.25">
      <c r="A15" s="4">
        <f t="shared" si="0"/>
        <v>6</v>
      </c>
      <c r="B15" s="32"/>
      <c r="E15" s="35"/>
      <c r="F15" s="217"/>
      <c r="G15" s="4"/>
      <c r="H15" s="4">
        <f t="shared" si="1"/>
        <v>6</v>
      </c>
    </row>
    <row r="16" spans="1:8" ht="16.5" thickBot="1" x14ac:dyDescent="0.3">
      <c r="A16" s="4">
        <f t="shared" si="0"/>
        <v>7</v>
      </c>
      <c r="B16" s="32" t="s">
        <v>89</v>
      </c>
      <c r="E16" s="91">
        <f>'True-Up Misc.-1'!G21</f>
        <v>-10738.380956993991</v>
      </c>
      <c r="F16" s="217"/>
      <c r="G16" s="4" t="s">
        <v>1762</v>
      </c>
      <c r="H16" s="4">
        <f t="shared" si="1"/>
        <v>7</v>
      </c>
    </row>
    <row r="17" spans="1:8" ht="16.5" thickTop="1" x14ac:dyDescent="0.25">
      <c r="A17" s="4">
        <f t="shared" si="0"/>
        <v>8</v>
      </c>
      <c r="F17" s="217"/>
      <c r="H17" s="4">
        <f t="shared" si="1"/>
        <v>8</v>
      </c>
    </row>
    <row r="18" spans="1:8" ht="19.5" thickBot="1" x14ac:dyDescent="0.3">
      <c r="A18" s="4">
        <f t="shared" si="0"/>
        <v>9</v>
      </c>
      <c r="B18" s="32" t="s">
        <v>1107</v>
      </c>
      <c r="E18" s="91">
        <v>0</v>
      </c>
      <c r="F18" s="217"/>
      <c r="G18" s="4"/>
      <c r="H18" s="4">
        <f t="shared" si="1"/>
        <v>9</v>
      </c>
    </row>
    <row r="19" spans="1:8" ht="16.5" thickTop="1" x14ac:dyDescent="0.25">
      <c r="H19" s="4"/>
    </row>
    <row r="20" spans="1:8" x14ac:dyDescent="0.25">
      <c r="H20" s="4"/>
    </row>
    <row r="21" spans="1:8" ht="18.75" x14ac:dyDescent="0.25">
      <c r="A21" s="265">
        <v>1</v>
      </c>
      <c r="B21" s="31" t="s">
        <v>2059</v>
      </c>
      <c r="H21" s="4"/>
    </row>
    <row r="22" spans="1:8" x14ac:dyDescent="0.25">
      <c r="B22" s="31" t="s">
        <v>1108</v>
      </c>
    </row>
  </sheetData>
  <mergeCells count="4">
    <mergeCell ref="B2:G2"/>
    <mergeCell ref="B3:G3"/>
    <mergeCell ref="B4:G4"/>
    <mergeCell ref="B5:G5"/>
  </mergeCells>
  <printOptions horizontalCentered="1"/>
  <pageMargins left="0.25" right="0.25" top="0.5" bottom="0.5" header="0.25" footer="0.25"/>
  <pageSetup scale="74" orientation="portrait" r:id="rId1"/>
  <headerFooter scaleWithDoc="0" alignWithMargins="0">
    <oddFooter>&amp;C&amp;A</oddFooter>
  </headerFooter>
  <customProperties>
    <customPr name="_pios_id" r:id="rId2"/>
  </customPropertie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BC7DC-D079-46C6-AEA7-41AA2C1C8025}">
  <sheetPr>
    <pageSetUpPr fitToPage="1"/>
  </sheetPr>
  <dimension ref="A2:I34"/>
  <sheetViews>
    <sheetView zoomScale="80" zoomScaleNormal="80" workbookViewId="0">
      <selection activeCell="H38" sqref="H38"/>
    </sheetView>
  </sheetViews>
  <sheetFormatPr defaultColWidth="8.85546875" defaultRowHeight="15.75" x14ac:dyDescent="0.25"/>
  <cols>
    <col min="1" max="1" width="5.140625" style="4" customWidth="1"/>
    <col min="2" max="2" width="56.140625" style="31" customWidth="1"/>
    <col min="3" max="3" width="16.85546875" style="31" customWidth="1"/>
    <col min="4" max="4" width="2.85546875" style="31" bestFit="1" customWidth="1"/>
    <col min="5" max="5" width="16.85546875" style="31" customWidth="1"/>
    <col min="6" max="6" width="1.5703125" style="31" customWidth="1"/>
    <col min="7" max="7" width="18.42578125" style="31" customWidth="1"/>
    <col min="8" max="8" width="50.85546875" style="31" customWidth="1"/>
    <col min="9" max="9" width="5.140625" style="4" customWidth="1"/>
    <col min="10" max="16384" width="8.85546875" style="31"/>
  </cols>
  <sheetData>
    <row r="2" spans="1:9" x14ac:dyDescent="0.25">
      <c r="B2" s="1316" t="s">
        <v>0</v>
      </c>
      <c r="C2" s="1316"/>
      <c r="D2" s="1316"/>
      <c r="E2" s="1316"/>
      <c r="F2" s="1316"/>
      <c r="G2" s="1316"/>
      <c r="H2" s="1316"/>
    </row>
    <row r="3" spans="1:9" x14ac:dyDescent="0.25">
      <c r="B3" s="1316" t="s">
        <v>1109</v>
      </c>
      <c r="C3" s="1316"/>
      <c r="D3" s="1316"/>
      <c r="E3" s="1316"/>
      <c r="F3" s="1316"/>
      <c r="G3" s="1316"/>
      <c r="H3" s="1316"/>
    </row>
    <row r="4" spans="1:9" x14ac:dyDescent="0.25">
      <c r="B4" s="1316" t="s">
        <v>1110</v>
      </c>
      <c r="C4" s="1316"/>
      <c r="D4" s="1316"/>
      <c r="E4" s="1316"/>
      <c r="F4" s="1316"/>
      <c r="G4" s="1316"/>
      <c r="H4" s="1316"/>
    </row>
    <row r="5" spans="1:9" x14ac:dyDescent="0.25">
      <c r="B5" s="1316" t="s">
        <v>2026</v>
      </c>
      <c r="C5" s="1316"/>
      <c r="D5" s="1316"/>
      <c r="E5" s="1316"/>
      <c r="F5" s="1316"/>
      <c r="G5" s="1316"/>
      <c r="H5" s="1316"/>
    </row>
    <row r="6" spans="1:9" x14ac:dyDescent="0.25">
      <c r="B6" s="1312" t="s">
        <v>4</v>
      </c>
      <c r="C6" s="1312"/>
      <c r="D6" s="1312"/>
      <c r="E6" s="1312"/>
      <c r="F6" s="1312"/>
      <c r="G6" s="1312"/>
      <c r="H6" s="1312"/>
    </row>
    <row r="8" spans="1:9" x14ac:dyDescent="0.25">
      <c r="A8" s="4" t="s">
        <v>5</v>
      </c>
      <c r="C8" s="261" t="s">
        <v>187</v>
      </c>
      <c r="D8" s="261"/>
      <c r="E8" s="261" t="s">
        <v>188</v>
      </c>
      <c r="G8" s="261" t="s">
        <v>211</v>
      </c>
      <c r="H8" s="261"/>
      <c r="I8" s="4" t="s">
        <v>5</v>
      </c>
    </row>
    <row r="9" spans="1:9" x14ac:dyDescent="0.25">
      <c r="A9" s="4" t="s">
        <v>6</v>
      </c>
      <c r="B9" s="927" t="s">
        <v>311</v>
      </c>
      <c r="C9" s="727">
        <f>'Stmt AD'!E9</f>
        <v>45657</v>
      </c>
      <c r="D9" s="974"/>
      <c r="E9" s="727">
        <f>'Stmt AD'!G9</f>
        <v>46022</v>
      </c>
      <c r="F9" s="975"/>
      <c r="G9" s="927" t="s">
        <v>213</v>
      </c>
      <c r="H9" s="927" t="s">
        <v>8</v>
      </c>
      <c r="I9" s="4" t="s">
        <v>6</v>
      </c>
    </row>
    <row r="11" spans="1:9" x14ac:dyDescent="0.25">
      <c r="A11" s="4">
        <v>1</v>
      </c>
      <c r="B11" s="32" t="s">
        <v>1755</v>
      </c>
      <c r="C11" s="35">
        <f>'True-Up Misc.-1.1'!C14</f>
        <v>-117.65588628198122</v>
      </c>
      <c r="D11" s="6"/>
      <c r="E11" s="35">
        <f>'True-Up Misc.-1.1'!E14</f>
        <v>-247.37593713410749</v>
      </c>
      <c r="F11" s="35"/>
      <c r="G11" s="35">
        <f>'True-Up Misc.-1.1'!G14</f>
        <v>-183.5035018034805</v>
      </c>
      <c r="H11" s="44" t="s">
        <v>1758</v>
      </c>
      <c r="I11" s="4">
        <f t="shared" ref="I11:I21" si="0">A11</f>
        <v>1</v>
      </c>
    </row>
    <row r="12" spans="1:9" x14ac:dyDescent="0.25">
      <c r="A12" s="4">
        <f>A11+1</f>
        <v>2</v>
      </c>
      <c r="C12" s="35"/>
      <c r="D12" s="6"/>
      <c r="E12" s="35"/>
      <c r="F12" s="35"/>
      <c r="G12" s="35"/>
      <c r="H12" s="44"/>
      <c r="I12" s="4">
        <f t="shared" si="0"/>
        <v>2</v>
      </c>
    </row>
    <row r="13" spans="1:9" ht="18.75" x14ac:dyDescent="0.25">
      <c r="A13" s="4">
        <f t="shared" ref="A13:A21" si="1">A12+1</f>
        <v>3</v>
      </c>
      <c r="B13" s="31" t="s">
        <v>1111</v>
      </c>
      <c r="C13" s="35">
        <f>'True-Up Misc.-1.1'!C19</f>
        <v>-1865.5333969048165</v>
      </c>
      <c r="D13" s="882"/>
      <c r="E13" s="35">
        <f>'True-Up Misc.-1.1'!E19</f>
        <v>-1661.1435154644266</v>
      </c>
      <c r="F13" s="35"/>
      <c r="G13" s="35">
        <f>'True-Up Misc.-1.1'!G19</f>
        <v>-1762.2209489974782</v>
      </c>
      <c r="H13" s="44" t="s">
        <v>1759</v>
      </c>
      <c r="I13" s="4">
        <f t="shared" si="0"/>
        <v>3</v>
      </c>
    </row>
    <row r="14" spans="1:9" x14ac:dyDescent="0.25">
      <c r="A14" s="4">
        <f t="shared" si="1"/>
        <v>4</v>
      </c>
      <c r="C14" s="35"/>
      <c r="D14" s="6"/>
      <c r="E14" s="35"/>
      <c r="F14" s="35"/>
      <c r="G14" s="35"/>
      <c r="H14" s="44"/>
      <c r="I14" s="4">
        <f t="shared" si="0"/>
        <v>4</v>
      </c>
    </row>
    <row r="15" spans="1:9" x14ac:dyDescent="0.25">
      <c r="A15" s="4">
        <f t="shared" si="1"/>
        <v>5</v>
      </c>
      <c r="B15" s="31" t="s">
        <v>1112</v>
      </c>
      <c r="C15" s="35">
        <f>'True-Up Misc.-1.1'!C24</f>
        <v>-4482.6892673434841</v>
      </c>
      <c r="D15" s="6"/>
      <c r="E15" s="35">
        <f>'True-Up Misc.-1.1'!E24</f>
        <v>-2517.3877609736046</v>
      </c>
      <c r="F15" s="35"/>
      <c r="G15" s="35">
        <f>'True-Up Misc.-1.1'!G24</f>
        <v>-3486.4159363984209</v>
      </c>
      <c r="H15" s="44" t="s">
        <v>1760</v>
      </c>
      <c r="I15" s="4">
        <f t="shared" si="0"/>
        <v>5</v>
      </c>
    </row>
    <row r="16" spans="1:9" x14ac:dyDescent="0.25">
      <c r="A16" s="4">
        <f t="shared" si="1"/>
        <v>6</v>
      </c>
      <c r="C16" s="35"/>
      <c r="D16" s="6"/>
      <c r="E16" s="35"/>
      <c r="F16" s="35"/>
      <c r="G16" s="35"/>
      <c r="H16" s="44"/>
      <c r="I16" s="4">
        <f t="shared" si="0"/>
        <v>6</v>
      </c>
    </row>
    <row r="17" spans="1:9" x14ac:dyDescent="0.25">
      <c r="A17" s="4">
        <f t="shared" si="1"/>
        <v>7</v>
      </c>
      <c r="B17" s="31" t="s">
        <v>1113</v>
      </c>
      <c r="C17" s="35">
        <f>'True-Up Misc.-1.1'!C29</f>
        <v>-5374.7348051541421</v>
      </c>
      <c r="D17" s="6"/>
      <c r="E17" s="35">
        <f>'True-Up Misc.-1.1'!E29</f>
        <v>-5237.4842982670598</v>
      </c>
      <c r="F17" s="35"/>
      <c r="G17" s="35">
        <f>'True-Up Misc.-1.1'!G29</f>
        <v>-5306.2405697946115</v>
      </c>
      <c r="H17" s="44" t="s">
        <v>1761</v>
      </c>
      <c r="I17" s="4">
        <f t="shared" si="0"/>
        <v>7</v>
      </c>
    </row>
    <row r="18" spans="1:9" x14ac:dyDescent="0.25">
      <c r="C18" s="35"/>
      <c r="D18" s="6"/>
      <c r="E18" s="35"/>
      <c r="F18" s="35"/>
      <c r="G18" s="35"/>
      <c r="H18" s="44"/>
    </row>
    <row r="19" spans="1:9" x14ac:dyDescent="0.25">
      <c r="B19" s="31" t="s">
        <v>2113</v>
      </c>
      <c r="C19" s="35">
        <f>'True-Up Misc.-1.1'!C34</f>
        <v>0</v>
      </c>
      <c r="D19" s="6"/>
      <c r="E19" s="35">
        <f>'True-Up Misc.-1.1'!E34</f>
        <v>0</v>
      </c>
      <c r="F19" s="35"/>
      <c r="G19" s="35">
        <f>'True-Up Misc.-1.1'!G34</f>
        <v>0</v>
      </c>
      <c r="H19" s="44" t="s">
        <v>2120</v>
      </c>
    </row>
    <row r="20" spans="1:9" x14ac:dyDescent="0.25">
      <c r="A20" s="4">
        <f>A17+1</f>
        <v>8</v>
      </c>
      <c r="C20" s="35"/>
      <c r="D20" s="6"/>
      <c r="E20" s="35"/>
      <c r="F20" s="35"/>
      <c r="G20" s="35"/>
      <c r="H20" s="44"/>
      <c r="I20" s="4">
        <f t="shared" si="0"/>
        <v>8</v>
      </c>
    </row>
    <row r="21" spans="1:9" ht="19.5" thickBot="1" x14ac:dyDescent="0.3">
      <c r="A21" s="4">
        <f t="shared" si="1"/>
        <v>9</v>
      </c>
      <c r="B21" s="31" t="s">
        <v>1114</v>
      </c>
      <c r="C21" s="37">
        <f>SUM(C11:C20)</f>
        <v>-11840.613355684425</v>
      </c>
      <c r="D21" s="882"/>
      <c r="E21" s="37">
        <f>SUM(E11:E20)</f>
        <v>-9663.3915118391997</v>
      </c>
      <c r="F21" s="35"/>
      <c r="G21" s="37">
        <f>SUM(G11:G20)</f>
        <v>-10738.380956993991</v>
      </c>
      <c r="H21" s="4" t="s">
        <v>1115</v>
      </c>
      <c r="I21" s="4">
        <f t="shared" si="0"/>
        <v>9</v>
      </c>
    </row>
    <row r="22" spans="1:9" ht="16.5" thickTop="1" x14ac:dyDescent="0.25">
      <c r="C22" s="11"/>
      <c r="D22" s="11"/>
      <c r="E22" s="11"/>
      <c r="F22" s="11"/>
      <c r="G22" s="11"/>
      <c r="H22" s="11"/>
    </row>
    <row r="23" spans="1:9" x14ac:dyDescent="0.25">
      <c r="C23" s="6"/>
      <c r="D23" s="6"/>
      <c r="E23" s="6"/>
      <c r="F23" s="6"/>
      <c r="G23" s="6"/>
      <c r="H23" s="6"/>
    </row>
    <row r="24" spans="1:9" x14ac:dyDescent="0.25">
      <c r="A24"/>
      <c r="B24"/>
      <c r="C24"/>
      <c r="D24"/>
      <c r="E24"/>
      <c r="F24" s="6"/>
      <c r="G24" s="6"/>
      <c r="H24" s="6"/>
    </row>
    <row r="34" spans="2:2" x14ac:dyDescent="0.25">
      <c r="B34" s="623"/>
    </row>
  </sheetData>
  <mergeCells count="5">
    <mergeCell ref="B2:H2"/>
    <mergeCell ref="B3:H3"/>
    <mergeCell ref="B4:H4"/>
    <mergeCell ref="B5:H5"/>
    <mergeCell ref="B6:H6"/>
  </mergeCells>
  <printOptions horizontalCentered="1"/>
  <pageMargins left="0.25" right="0.25" top="0.5" bottom="0.5" header="0.25" footer="0.25"/>
  <pageSetup scale="77" orientation="landscape" r:id="rId1"/>
  <headerFooter scaleWithDoc="0" alignWithMargins="0">
    <oddFooter>&amp;C&amp;A</oddFooter>
  </headerFooter>
  <customProperties>
    <customPr name="_pios_id" r:id="rId2"/>
  </customPropertie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846D9-E41E-4A28-95E9-7826F0E8C1A5}">
  <sheetPr>
    <pageSetUpPr fitToPage="1"/>
  </sheetPr>
  <dimension ref="A2:K42"/>
  <sheetViews>
    <sheetView zoomScale="80" zoomScaleNormal="80" workbookViewId="0">
      <selection activeCell="K40" sqref="K40"/>
    </sheetView>
  </sheetViews>
  <sheetFormatPr defaultColWidth="8.5703125" defaultRowHeight="15.75" x14ac:dyDescent="0.25"/>
  <cols>
    <col min="1" max="1" width="5.5703125" style="4" customWidth="1"/>
    <col min="2" max="2" width="50.85546875" style="31" customWidth="1"/>
    <col min="3" max="3" width="16.85546875" style="31" customWidth="1"/>
    <col min="4" max="4" width="2.85546875" style="31" bestFit="1" customWidth="1"/>
    <col min="5" max="5" width="16.85546875" style="31" customWidth="1"/>
    <col min="6" max="6" width="1.5703125" style="31" customWidth="1"/>
    <col min="7" max="7" width="23.42578125" style="31" bestFit="1" customWidth="1"/>
    <col min="8" max="8" width="64.5703125" style="31" customWidth="1"/>
    <col min="9" max="9" width="5.42578125" style="4" customWidth="1"/>
    <col min="10" max="10" width="8.5703125" style="31"/>
    <col min="11" max="11" width="22" style="31" bestFit="1" customWidth="1"/>
    <col min="12" max="16384" width="8.5703125" style="31"/>
  </cols>
  <sheetData>
    <row r="2" spans="1:11" x14ac:dyDescent="0.25">
      <c r="B2" s="1316" t="s">
        <v>0</v>
      </c>
      <c r="C2" s="1316"/>
      <c r="D2" s="1316"/>
      <c r="E2" s="1316"/>
      <c r="F2" s="1316"/>
      <c r="G2" s="1316"/>
      <c r="H2" s="1316"/>
    </row>
    <row r="3" spans="1:11" x14ac:dyDescent="0.25">
      <c r="B3" s="1316" t="s">
        <v>1109</v>
      </c>
      <c r="C3" s="1316"/>
      <c r="D3" s="1316"/>
      <c r="E3" s="1316"/>
      <c r="F3" s="1316"/>
      <c r="G3" s="1316"/>
      <c r="H3" s="1316"/>
    </row>
    <row r="4" spans="1:11" x14ac:dyDescent="0.25">
      <c r="B4" s="1316" t="s">
        <v>1110</v>
      </c>
      <c r="C4" s="1316"/>
      <c r="D4" s="1316"/>
      <c r="E4" s="1316"/>
      <c r="F4" s="1316"/>
      <c r="G4" s="1316"/>
      <c r="H4" s="1316"/>
    </row>
    <row r="5" spans="1:11" x14ac:dyDescent="0.25">
      <c r="B5" s="1316" t="s">
        <v>2112</v>
      </c>
      <c r="C5" s="1316"/>
      <c r="D5" s="1316"/>
      <c r="E5" s="1316"/>
      <c r="F5" s="1316"/>
      <c r="G5" s="1316"/>
      <c r="H5" s="1316"/>
    </row>
    <row r="6" spans="1:11" ht="15.75" customHeight="1" x14ac:dyDescent="0.25">
      <c r="B6" s="1312" t="s">
        <v>4</v>
      </c>
      <c r="C6" s="1312"/>
      <c r="D6" s="1312"/>
      <c r="E6" s="1312"/>
      <c r="F6" s="1312"/>
      <c r="G6" s="1312"/>
      <c r="H6" s="1312"/>
    </row>
    <row r="7" spans="1:11" x14ac:dyDescent="0.25">
      <c r="K7" s="47"/>
    </row>
    <row r="8" spans="1:11" ht="18.75" x14ac:dyDescent="0.25">
      <c r="A8" s="4" t="s">
        <v>5</v>
      </c>
      <c r="B8" s="1"/>
      <c r="C8" s="261" t="s">
        <v>1116</v>
      </c>
      <c r="D8" s="261"/>
      <c r="E8" s="261" t="s">
        <v>188</v>
      </c>
      <c r="G8" s="261" t="s">
        <v>211</v>
      </c>
      <c r="H8" s="261"/>
      <c r="I8" s="4" t="s">
        <v>5</v>
      </c>
      <c r="K8" s="47"/>
    </row>
    <row r="9" spans="1:11" x14ac:dyDescent="0.25">
      <c r="A9" s="4" t="s">
        <v>6</v>
      </c>
      <c r="B9" s="927" t="s">
        <v>311</v>
      </c>
      <c r="C9" s="727">
        <f>'Stmt AD'!E9</f>
        <v>45657</v>
      </c>
      <c r="D9" s="727"/>
      <c r="E9" s="727">
        <f>'Stmt AD'!G9</f>
        <v>46022</v>
      </c>
      <c r="F9" s="727"/>
      <c r="G9" s="927" t="s">
        <v>213</v>
      </c>
      <c r="H9" s="927" t="s">
        <v>8</v>
      </c>
      <c r="I9" s="4" t="s">
        <v>6</v>
      </c>
      <c r="K9" s="885"/>
    </row>
    <row r="10" spans="1:11" x14ac:dyDescent="0.25">
      <c r="B10" s="1"/>
      <c r="C10" s="338"/>
      <c r="D10" s="338"/>
      <c r="E10" s="338"/>
      <c r="F10" s="338"/>
      <c r="G10" s="90"/>
      <c r="H10" s="90"/>
    </row>
    <row r="11" spans="1:11" x14ac:dyDescent="0.25">
      <c r="A11" s="4">
        <v>1</v>
      </c>
      <c r="B11" s="31" t="s">
        <v>1755</v>
      </c>
      <c r="C11" s="89"/>
      <c r="D11" s="89"/>
      <c r="E11" s="89"/>
      <c r="F11" s="89"/>
      <c r="G11" s="90"/>
      <c r="H11" s="90"/>
      <c r="I11" s="4">
        <f>A11</f>
        <v>1</v>
      </c>
    </row>
    <row r="12" spans="1:11" x14ac:dyDescent="0.25">
      <c r="A12" s="4">
        <f>A11+1</f>
        <v>2</v>
      </c>
      <c r="B12" s="32" t="s">
        <v>1756</v>
      </c>
      <c r="C12" s="35">
        <v>-770</v>
      </c>
      <c r="D12" s="35"/>
      <c r="E12" s="35">
        <v>-1667</v>
      </c>
      <c r="F12" s="35"/>
      <c r="G12" s="35">
        <f>(C12+E12)/2</f>
        <v>-1218.5</v>
      </c>
      <c r="H12" s="44" t="s">
        <v>263</v>
      </c>
      <c r="I12" s="4">
        <f>I11+1</f>
        <v>2</v>
      </c>
    </row>
    <row r="13" spans="1:11" x14ac:dyDescent="0.25">
      <c r="A13" s="4">
        <f t="shared" ref="A13:A34" si="0">A12+1</f>
        <v>3</v>
      </c>
      <c r="B13" s="32" t="s">
        <v>1117</v>
      </c>
      <c r="C13" s="47">
        <f>C39</f>
        <v>0.15279985231426133</v>
      </c>
      <c r="D13" s="6"/>
      <c r="E13" s="47">
        <f>'AD-10'!$D$18*'True-Up Stmt AI'!$E$25</f>
        <v>0.14839588310384372</v>
      </c>
      <c r="F13" s="6"/>
      <c r="G13" s="47">
        <f>(C13+E13)/2</f>
        <v>0.15059786770905254</v>
      </c>
      <c r="H13" s="44" t="s">
        <v>1118</v>
      </c>
      <c r="I13" s="4">
        <f t="shared" ref="I13:I34" si="1">I12+1</f>
        <v>3</v>
      </c>
      <c r="K13" s="865"/>
    </row>
    <row r="14" spans="1:11" ht="16.5" thickBot="1" x14ac:dyDescent="0.3">
      <c r="A14" s="4">
        <f t="shared" si="0"/>
        <v>4</v>
      </c>
      <c r="B14" s="339" t="s">
        <v>1757</v>
      </c>
      <c r="C14" s="88">
        <f>C12*C13</f>
        <v>-117.65588628198122</v>
      </c>
      <c r="D14" s="6"/>
      <c r="E14" s="88">
        <f>E12*E13</f>
        <v>-247.37593713410749</v>
      </c>
      <c r="F14" s="43"/>
      <c r="G14" s="88">
        <f>G12*G13</f>
        <v>-183.5035018034805</v>
      </c>
      <c r="H14" s="624" t="s">
        <v>1119</v>
      </c>
      <c r="I14" s="4">
        <f t="shared" si="1"/>
        <v>4</v>
      </c>
      <c r="K14" s="865"/>
    </row>
    <row r="15" spans="1:11" ht="16.5" thickTop="1" x14ac:dyDescent="0.25">
      <c r="A15" s="4">
        <f t="shared" si="0"/>
        <v>5</v>
      </c>
      <c r="C15" s="84"/>
      <c r="D15" s="84"/>
      <c r="E15" s="84"/>
      <c r="F15" s="84"/>
      <c r="G15" s="84"/>
      <c r="H15" s="84"/>
      <c r="I15" s="4">
        <f t="shared" si="1"/>
        <v>5</v>
      </c>
      <c r="K15" s="1192"/>
    </row>
    <row r="16" spans="1:11" x14ac:dyDescent="0.25">
      <c r="A16" s="4">
        <f t="shared" si="0"/>
        <v>6</v>
      </c>
      <c r="B16" s="32" t="s">
        <v>1111</v>
      </c>
      <c r="C16" s="89"/>
      <c r="D16" s="89"/>
      <c r="E16" s="89"/>
      <c r="F16" s="89"/>
      <c r="G16" s="90"/>
      <c r="H16" s="90"/>
      <c r="I16" s="4">
        <f t="shared" si="1"/>
        <v>6</v>
      </c>
    </row>
    <row r="17" spans="1:9" x14ac:dyDescent="0.25">
      <c r="A17" s="4">
        <f t="shared" si="0"/>
        <v>7</v>
      </c>
      <c r="B17" s="32" t="s">
        <v>1120</v>
      </c>
      <c r="C17" s="35">
        <v>-12209</v>
      </c>
      <c r="D17" s="35"/>
      <c r="E17" s="35">
        <v>-11194</v>
      </c>
      <c r="F17" s="35"/>
      <c r="G17" s="35">
        <f>(C17+E17)/2</f>
        <v>-11701.5</v>
      </c>
      <c r="H17" s="44" t="s">
        <v>263</v>
      </c>
      <c r="I17" s="4">
        <f t="shared" si="1"/>
        <v>7</v>
      </c>
    </row>
    <row r="18" spans="1:9" x14ac:dyDescent="0.25">
      <c r="A18" s="4">
        <f t="shared" si="0"/>
        <v>8</v>
      </c>
      <c r="B18" s="32" t="s">
        <v>1117</v>
      </c>
      <c r="C18" s="47">
        <f>C13</f>
        <v>0.15279985231426133</v>
      </c>
      <c r="D18" s="6"/>
      <c r="E18" s="47">
        <f>'AD-10'!$D$18*'True-Up Stmt AI'!$E$25</f>
        <v>0.14839588310384372</v>
      </c>
      <c r="F18" s="6"/>
      <c r="G18" s="47">
        <f>(C18+E18)/2</f>
        <v>0.15059786770905254</v>
      </c>
      <c r="H18" s="44" t="s">
        <v>1118</v>
      </c>
      <c r="I18" s="4">
        <f t="shared" si="1"/>
        <v>8</v>
      </c>
    </row>
    <row r="19" spans="1:9" ht="16.5" thickBot="1" x14ac:dyDescent="0.3">
      <c r="A19" s="4">
        <f t="shared" si="0"/>
        <v>9</v>
      </c>
      <c r="B19" s="339" t="s">
        <v>1121</v>
      </c>
      <c r="C19" s="88">
        <f>C17*C18</f>
        <v>-1865.5333969048165</v>
      </c>
      <c r="D19" s="6"/>
      <c r="E19" s="88">
        <f>E17*E18</f>
        <v>-1661.1435154644266</v>
      </c>
      <c r="F19" s="43"/>
      <c r="G19" s="88">
        <f>G17*G18</f>
        <v>-1762.2209489974782</v>
      </c>
      <c r="H19" s="624" t="s">
        <v>37</v>
      </c>
      <c r="I19" s="4">
        <f t="shared" si="1"/>
        <v>9</v>
      </c>
    </row>
    <row r="20" spans="1:9" ht="16.5" thickTop="1" x14ac:dyDescent="0.25">
      <c r="A20" s="4">
        <f t="shared" si="0"/>
        <v>10</v>
      </c>
      <c r="I20" s="4">
        <f t="shared" si="1"/>
        <v>10</v>
      </c>
    </row>
    <row r="21" spans="1:9" x14ac:dyDescent="0.25">
      <c r="A21" s="4">
        <f t="shared" si="0"/>
        <v>11</v>
      </c>
      <c r="B21" s="31" t="s">
        <v>1112</v>
      </c>
      <c r="C21" s="89"/>
      <c r="D21" s="89"/>
      <c r="E21" s="89"/>
      <c r="F21" s="89"/>
      <c r="G21" s="90"/>
      <c r="H21" s="4"/>
      <c r="I21" s="4">
        <f t="shared" si="1"/>
        <v>11</v>
      </c>
    </row>
    <row r="22" spans="1:9" ht="18.75" x14ac:dyDescent="0.25">
      <c r="A22" s="4">
        <f t="shared" si="0"/>
        <v>12</v>
      </c>
      <c r="B22" s="32" t="s">
        <v>1122</v>
      </c>
      <c r="C22" s="35">
        <v>-29337</v>
      </c>
      <c r="D22" s="882"/>
      <c r="E22" s="35">
        <v>-16964</v>
      </c>
      <c r="F22" s="35"/>
      <c r="G22" s="35">
        <f>(C22+E22)/2</f>
        <v>-23150.5</v>
      </c>
      <c r="H22" s="44" t="s">
        <v>263</v>
      </c>
      <c r="I22" s="4">
        <f t="shared" si="1"/>
        <v>12</v>
      </c>
    </row>
    <row r="23" spans="1:9" x14ac:dyDescent="0.25">
      <c r="A23" s="4">
        <f t="shared" si="0"/>
        <v>13</v>
      </c>
      <c r="B23" s="32" t="s">
        <v>1117</v>
      </c>
      <c r="C23" s="47">
        <f>C13</f>
        <v>0.15279985231426133</v>
      </c>
      <c r="D23" s="6"/>
      <c r="E23" s="47">
        <f>'AD-10'!$D$18*'True-Up Stmt AI'!$E$25</f>
        <v>0.14839588310384372</v>
      </c>
      <c r="F23" s="6"/>
      <c r="G23" s="47">
        <f>(C23+E23)/2</f>
        <v>0.15059786770905254</v>
      </c>
      <c r="H23" s="44" t="s">
        <v>1118</v>
      </c>
      <c r="I23" s="4">
        <f t="shared" si="1"/>
        <v>13</v>
      </c>
    </row>
    <row r="24" spans="1:9" ht="19.5" thickBot="1" x14ac:dyDescent="0.3">
      <c r="A24" s="4">
        <f t="shared" si="0"/>
        <v>14</v>
      </c>
      <c r="B24" s="339" t="s">
        <v>1123</v>
      </c>
      <c r="C24" s="88">
        <f>C22*C23</f>
        <v>-4482.6892673434841</v>
      </c>
      <c r="D24" s="882"/>
      <c r="E24" s="88">
        <f>E22*E23</f>
        <v>-2517.3877609736046</v>
      </c>
      <c r="F24" s="43"/>
      <c r="G24" s="88">
        <f>G22*G23</f>
        <v>-3486.4159363984209</v>
      </c>
      <c r="H24" s="624" t="s">
        <v>1124</v>
      </c>
      <c r="I24" s="4">
        <f t="shared" si="1"/>
        <v>14</v>
      </c>
    </row>
    <row r="25" spans="1:9" ht="16.5" thickTop="1" x14ac:dyDescent="0.25">
      <c r="A25" s="4">
        <f t="shared" si="0"/>
        <v>15</v>
      </c>
      <c r="I25" s="4">
        <f t="shared" si="1"/>
        <v>15</v>
      </c>
    </row>
    <row r="26" spans="1:9" x14ac:dyDescent="0.25">
      <c r="A26" s="4">
        <f t="shared" si="0"/>
        <v>16</v>
      </c>
      <c r="B26" s="31" t="s">
        <v>1113</v>
      </c>
      <c r="C26" s="89"/>
      <c r="D26" s="89"/>
      <c r="E26" s="89"/>
      <c r="F26" s="89"/>
      <c r="G26" s="90"/>
      <c r="H26" s="4"/>
      <c r="I26" s="4">
        <f t="shared" si="1"/>
        <v>16</v>
      </c>
    </row>
    <row r="27" spans="1:9" x14ac:dyDescent="0.25">
      <c r="A27" s="4">
        <f t="shared" si="0"/>
        <v>17</v>
      </c>
      <c r="B27" s="32" t="s">
        <v>1125</v>
      </c>
      <c r="C27" s="35">
        <v>-35175</v>
      </c>
      <c r="D27" s="35"/>
      <c r="E27" s="35">
        <v>-35294</v>
      </c>
      <c r="F27" s="35"/>
      <c r="G27" s="35">
        <f>(C27+E27)/2</f>
        <v>-35234.5</v>
      </c>
      <c r="H27" s="44" t="s">
        <v>263</v>
      </c>
      <c r="I27" s="4">
        <f t="shared" si="1"/>
        <v>17</v>
      </c>
    </row>
    <row r="28" spans="1:9" x14ac:dyDescent="0.25">
      <c r="A28" s="4">
        <f t="shared" si="0"/>
        <v>18</v>
      </c>
      <c r="B28" s="32" t="s">
        <v>1117</v>
      </c>
      <c r="C28" s="47">
        <f>C13</f>
        <v>0.15279985231426133</v>
      </c>
      <c r="D28" s="6"/>
      <c r="E28" s="47">
        <f>'AD-10'!$D$18*'True-Up Stmt AI'!$E$25</f>
        <v>0.14839588310384372</v>
      </c>
      <c r="F28" s="6"/>
      <c r="G28" s="47">
        <f>(C28+E28)/2</f>
        <v>0.15059786770905254</v>
      </c>
      <c r="H28" s="44" t="s">
        <v>1118</v>
      </c>
      <c r="I28" s="4">
        <f t="shared" si="1"/>
        <v>18</v>
      </c>
    </row>
    <row r="29" spans="1:9" ht="16.5" thickBot="1" x14ac:dyDescent="0.3">
      <c r="A29" s="4">
        <f t="shared" si="0"/>
        <v>19</v>
      </c>
      <c r="B29" s="339" t="s">
        <v>1126</v>
      </c>
      <c r="C29" s="88">
        <f>C27*C28</f>
        <v>-5374.7348051541421</v>
      </c>
      <c r="D29" s="6"/>
      <c r="E29" s="88">
        <f>E27*E28</f>
        <v>-5237.4842982670598</v>
      </c>
      <c r="F29" s="43"/>
      <c r="G29" s="88">
        <f>G27*G28</f>
        <v>-5306.2405697946115</v>
      </c>
      <c r="H29" s="624" t="s">
        <v>24</v>
      </c>
      <c r="I29" s="4">
        <f t="shared" si="1"/>
        <v>19</v>
      </c>
    </row>
    <row r="30" spans="1:9" ht="16.5" thickTop="1" x14ac:dyDescent="0.25">
      <c r="A30" s="4">
        <f t="shared" si="0"/>
        <v>20</v>
      </c>
      <c r="B30" s="339"/>
      <c r="C30" s="43"/>
      <c r="D30" s="6"/>
      <c r="E30" s="43"/>
      <c r="F30" s="43"/>
      <c r="G30" s="43"/>
      <c r="H30" s="624"/>
      <c r="I30" s="4">
        <f t="shared" si="1"/>
        <v>20</v>
      </c>
    </row>
    <row r="31" spans="1:9" x14ac:dyDescent="0.25">
      <c r="A31" s="4">
        <f t="shared" si="0"/>
        <v>21</v>
      </c>
      <c r="B31" s="31" t="s">
        <v>2114</v>
      </c>
      <c r="C31" s="43"/>
      <c r="D31" s="6"/>
      <c r="E31" s="43"/>
      <c r="F31" s="43"/>
      <c r="G31" s="43"/>
      <c r="H31" s="624"/>
      <c r="I31" s="4">
        <f t="shared" si="1"/>
        <v>21</v>
      </c>
    </row>
    <row r="32" spans="1:9" x14ac:dyDescent="0.25">
      <c r="A32" s="4">
        <f t="shared" si="0"/>
        <v>22</v>
      </c>
      <c r="B32" s="32" t="s">
        <v>2115</v>
      </c>
      <c r="C32" s="43">
        <v>0</v>
      </c>
      <c r="D32" s="6"/>
      <c r="E32" s="43">
        <v>0</v>
      </c>
      <c r="F32" s="43"/>
      <c r="G32" s="35">
        <f>(C32+E32)/2</f>
        <v>0</v>
      </c>
      <c r="H32" s="44" t="s">
        <v>263</v>
      </c>
      <c r="I32" s="4">
        <f t="shared" si="1"/>
        <v>22</v>
      </c>
    </row>
    <row r="33" spans="1:9" x14ac:dyDescent="0.25">
      <c r="A33" s="4">
        <f t="shared" si="0"/>
        <v>23</v>
      </c>
      <c r="B33" s="32" t="s">
        <v>1117</v>
      </c>
      <c r="C33" s="865">
        <f>C13</f>
        <v>0.15279985231426133</v>
      </c>
      <c r="D33" s="6"/>
      <c r="E33" s="47">
        <f>'AD-10'!$D$18*'True-Up Stmt AI'!$E$25</f>
        <v>0.14839588310384372</v>
      </c>
      <c r="F33" s="43"/>
      <c r="G33" s="47">
        <f>(C33+E33)/2</f>
        <v>0.15059786770905254</v>
      </c>
      <c r="H33" s="44" t="s">
        <v>1118</v>
      </c>
      <c r="I33" s="4">
        <f t="shared" si="1"/>
        <v>23</v>
      </c>
    </row>
    <row r="34" spans="1:9" ht="16.5" thickBot="1" x14ac:dyDescent="0.3">
      <c r="A34" s="4">
        <f t="shared" si="0"/>
        <v>24</v>
      </c>
      <c r="B34" s="339" t="s">
        <v>2116</v>
      </c>
      <c r="C34" s="88">
        <f>C32*C33</f>
        <v>0</v>
      </c>
      <c r="D34" s="6"/>
      <c r="E34" s="88">
        <f>E32*E33</f>
        <v>0</v>
      </c>
      <c r="F34" s="43"/>
      <c r="G34" s="88">
        <f>G32*G33</f>
        <v>0</v>
      </c>
      <c r="H34" s="624" t="s">
        <v>2117</v>
      </c>
      <c r="I34" s="4">
        <f t="shared" si="1"/>
        <v>24</v>
      </c>
    </row>
    <row r="35" spans="1:9" ht="16.5" thickTop="1" x14ac:dyDescent="0.25"/>
    <row r="36" spans="1:9" ht="18.75" x14ac:dyDescent="0.25">
      <c r="A36" s="261" t="s">
        <v>1127</v>
      </c>
      <c r="B36" s="31" t="s">
        <v>1128</v>
      </c>
    </row>
    <row r="37" spans="1:9" x14ac:dyDescent="0.25">
      <c r="A37" s="4" t="s">
        <v>1129</v>
      </c>
      <c r="B37" s="31" t="s">
        <v>1130</v>
      </c>
      <c r="C37" s="47">
        <v>0.73870000000000002</v>
      </c>
      <c r="E37" s="35"/>
      <c r="H37" s="625" t="s">
        <v>2118</v>
      </c>
      <c r="I37" s="4" t="s">
        <v>1129</v>
      </c>
    </row>
    <row r="38" spans="1:9" x14ac:dyDescent="0.25">
      <c r="A38" s="4" t="s">
        <v>1131</v>
      </c>
      <c r="B38" s="31" t="s">
        <v>238</v>
      </c>
      <c r="C38" s="47">
        <v>0.20684967146915029</v>
      </c>
      <c r="H38" s="4" t="s">
        <v>2119</v>
      </c>
      <c r="I38" s="4" t="s">
        <v>1131</v>
      </c>
    </row>
    <row r="39" spans="1:9" ht="16.5" thickBot="1" x14ac:dyDescent="0.3">
      <c r="A39" s="4" t="s">
        <v>1132</v>
      </c>
      <c r="B39" s="31" t="s">
        <v>1117</v>
      </c>
      <c r="C39" s="626">
        <f>C37*C38</f>
        <v>0.15279985231426133</v>
      </c>
      <c r="H39" s="4" t="s">
        <v>1133</v>
      </c>
      <c r="I39" s="4" t="s">
        <v>1132</v>
      </c>
    </row>
    <row r="40" spans="1:9" ht="16.5" thickTop="1" x14ac:dyDescent="0.25"/>
    <row r="41" spans="1:9" x14ac:dyDescent="0.25">
      <c r="A41"/>
      <c r="B41"/>
      <c r="C41"/>
    </row>
    <row r="42" spans="1:9" x14ac:dyDescent="0.25">
      <c r="H42" s="4"/>
      <c r="I42" s="31"/>
    </row>
  </sheetData>
  <mergeCells count="5">
    <mergeCell ref="B2:H2"/>
    <mergeCell ref="B3:H3"/>
    <mergeCell ref="B4:H4"/>
    <mergeCell ref="B5:H5"/>
    <mergeCell ref="B6:H6"/>
  </mergeCells>
  <printOptions horizontalCentered="1"/>
  <pageMargins left="0.25" right="0.25" top="0.5" bottom="0.5" header="0.25" footer="0.25"/>
  <pageSetup scale="71" orientation="landscape" r:id="rId1"/>
  <headerFooter scaleWithDoc="0" alignWithMargins="0">
    <oddFooter>&amp;C&amp;A</oddFooter>
  </headerFooter>
  <customProperties>
    <customPr name="_pios_id" r:id="rId2"/>
  </customPropertie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M35"/>
  <sheetViews>
    <sheetView zoomScale="80" zoomScaleNormal="80" workbookViewId="0">
      <selection activeCell="D16" sqref="D16"/>
    </sheetView>
  </sheetViews>
  <sheetFormatPr defaultColWidth="9.28515625" defaultRowHeight="15.75" x14ac:dyDescent="0.25"/>
  <cols>
    <col min="1" max="1" width="5.28515625" style="340" customWidth="1"/>
    <col min="2" max="3" width="19.5703125" style="5" customWidth="1"/>
    <col min="4" max="5" width="20.7109375" style="5" customWidth="1"/>
    <col min="6" max="6" width="35.5703125" style="5" customWidth="1"/>
    <col min="7" max="7" width="20.7109375" style="5" customWidth="1"/>
    <col min="8" max="8" width="35.28515625" style="5" customWidth="1"/>
    <col min="9" max="9" width="5.28515625" style="340" customWidth="1"/>
    <col min="10" max="10" width="8.7109375" style="5" customWidth="1"/>
    <col min="11" max="11" width="9" style="5" customWidth="1"/>
    <col min="12" max="12" width="14" style="5" customWidth="1"/>
    <col min="13" max="13" width="13.28515625" style="5" customWidth="1"/>
    <col min="14" max="14" width="12.7109375" style="5" customWidth="1"/>
    <col min="15" max="15" width="13.5703125" style="5" customWidth="1"/>
    <col min="16" max="16" width="12.5703125" style="5" customWidth="1"/>
    <col min="17" max="16384" width="9.28515625" style="5"/>
  </cols>
  <sheetData>
    <row r="1" spans="1:13" x14ac:dyDescent="0.25">
      <c r="M1" s="161"/>
    </row>
    <row r="2" spans="1:13" x14ac:dyDescent="0.25">
      <c r="B2" s="1316" t="s">
        <v>0</v>
      </c>
      <c r="C2" s="1316"/>
      <c r="D2" s="1316"/>
      <c r="E2" s="1316"/>
      <c r="F2" s="1316"/>
      <c r="G2" s="1316"/>
      <c r="H2" s="1316"/>
      <c r="I2" s="217"/>
      <c r="J2" s="217"/>
      <c r="M2" s="161"/>
    </row>
    <row r="3" spans="1:13" x14ac:dyDescent="0.25">
      <c r="B3" s="1314" t="s">
        <v>2100</v>
      </c>
      <c r="C3" s="1314"/>
      <c r="D3" s="1314"/>
      <c r="E3" s="1314"/>
      <c r="F3" s="1314"/>
      <c r="G3" s="1314"/>
      <c r="H3" s="1314"/>
      <c r="I3" s="217"/>
      <c r="J3" s="217"/>
      <c r="M3" s="161"/>
    </row>
    <row r="4" spans="1:13" x14ac:dyDescent="0.25">
      <c r="B4" s="1318" t="str">
        <f>'True-Up'!B4</f>
        <v>For 12-Month True-Up Period January 1, 2025 Through December 31, 2025</v>
      </c>
      <c r="C4" s="1318"/>
      <c r="D4" s="1318"/>
      <c r="E4" s="1318"/>
      <c r="F4" s="1318"/>
      <c r="G4" s="1318"/>
      <c r="H4" s="1318"/>
      <c r="I4" s="217"/>
      <c r="J4" s="217"/>
      <c r="M4" s="161"/>
    </row>
    <row r="5" spans="1:13" x14ac:dyDescent="0.25">
      <c r="B5" s="1312" t="s">
        <v>4</v>
      </c>
      <c r="C5" s="1312"/>
      <c r="D5" s="1312"/>
      <c r="E5" s="1312"/>
      <c r="F5" s="1312"/>
      <c r="G5" s="1312"/>
      <c r="H5" s="1312"/>
      <c r="I5" s="217"/>
      <c r="J5" s="217"/>
    </row>
    <row r="6" spans="1:13" x14ac:dyDescent="0.25">
      <c r="A6" s="217"/>
      <c r="B6" s="217"/>
      <c r="C6" s="217"/>
      <c r="D6" s="217"/>
      <c r="E6" s="217"/>
      <c r="F6" s="217"/>
      <c r="G6" s="217"/>
      <c r="H6" s="217"/>
      <c r="I6" s="217"/>
      <c r="J6" s="217"/>
    </row>
    <row r="7" spans="1:13" x14ac:dyDescent="0.25">
      <c r="A7" s="4" t="s">
        <v>5</v>
      </c>
      <c r="B7" s="217"/>
      <c r="C7" s="217"/>
      <c r="D7" s="217"/>
      <c r="E7" s="217"/>
      <c r="F7" s="217"/>
      <c r="G7" s="217"/>
      <c r="H7" s="217"/>
      <c r="I7" s="4" t="s">
        <v>5</v>
      </c>
      <c r="J7" s="217"/>
    </row>
    <row r="8" spans="1:13" x14ac:dyDescent="0.25">
      <c r="A8" s="4" t="s">
        <v>6</v>
      </c>
      <c r="E8" s="487"/>
      <c r="I8" s="4" t="s">
        <v>6</v>
      </c>
      <c r="J8" s="473"/>
    </row>
    <row r="9" spans="1:13" x14ac:dyDescent="0.25">
      <c r="A9" s="473"/>
      <c r="E9" s="487"/>
      <c r="I9" s="473"/>
      <c r="J9" s="473"/>
    </row>
    <row r="10" spans="1:13" x14ac:dyDescent="0.25">
      <c r="A10" s="340">
        <v>1</v>
      </c>
      <c r="C10" s="489" t="s">
        <v>1137</v>
      </c>
      <c r="D10" s="489" t="s">
        <v>1138</v>
      </c>
      <c r="E10" s="489" t="s">
        <v>1139</v>
      </c>
      <c r="F10" s="489" t="s">
        <v>1140</v>
      </c>
      <c r="G10" s="489" t="s">
        <v>1141</v>
      </c>
      <c r="H10" s="489" t="s">
        <v>1142</v>
      </c>
      <c r="I10" s="340">
        <f>A10</f>
        <v>1</v>
      </c>
      <c r="J10" s="340"/>
    </row>
    <row r="11" spans="1:13" x14ac:dyDescent="0.25">
      <c r="A11" s="340">
        <f>A10+1</f>
        <v>2</v>
      </c>
      <c r="B11" s="341" t="s">
        <v>1259</v>
      </c>
      <c r="C11" s="489"/>
      <c r="D11" s="4"/>
      <c r="E11" s="4" t="s">
        <v>1349</v>
      </c>
      <c r="F11" s="4" t="s">
        <v>1350</v>
      </c>
      <c r="G11" s="34" t="s">
        <v>1351</v>
      </c>
      <c r="H11" s="34" t="s">
        <v>1352</v>
      </c>
      <c r="I11" s="340">
        <f>I10+1</f>
        <v>2</v>
      </c>
      <c r="J11" s="340"/>
    </row>
    <row r="12" spans="1:13" x14ac:dyDescent="0.25">
      <c r="A12" s="340">
        <f t="shared" ref="A12:A28" si="0">A11+1</f>
        <v>3</v>
      </c>
      <c r="C12" s="489"/>
      <c r="D12" s="489"/>
      <c r="E12" s="489"/>
      <c r="F12" s="217"/>
      <c r="G12" s="489"/>
      <c r="H12" s="489"/>
      <c r="I12" s="340">
        <f t="shared" ref="I12:I28" si="1">I11+1</f>
        <v>3</v>
      </c>
      <c r="J12" s="340"/>
    </row>
    <row r="13" spans="1:13" x14ac:dyDescent="0.25">
      <c r="A13" s="340">
        <f t="shared" si="0"/>
        <v>4</v>
      </c>
      <c r="C13" s="217"/>
      <c r="D13" s="217" t="s">
        <v>1353</v>
      </c>
      <c r="E13" s="217" t="s">
        <v>1268</v>
      </c>
      <c r="F13" s="217" t="s">
        <v>1354</v>
      </c>
      <c r="H13" s="217" t="s">
        <v>1354</v>
      </c>
      <c r="I13" s="340">
        <f t="shared" si="1"/>
        <v>4</v>
      </c>
      <c r="J13" s="340"/>
    </row>
    <row r="14" spans="1:13" x14ac:dyDescent="0.25">
      <c r="A14" s="340">
        <f t="shared" si="0"/>
        <v>5</v>
      </c>
      <c r="C14" s="217"/>
      <c r="D14" s="217" t="s">
        <v>1355</v>
      </c>
      <c r="E14" s="217" t="s">
        <v>1275</v>
      </c>
      <c r="F14" s="217" t="s">
        <v>1356</v>
      </c>
      <c r="G14" s="217"/>
      <c r="H14" s="217" t="s">
        <v>1356</v>
      </c>
      <c r="I14" s="340">
        <f t="shared" si="1"/>
        <v>5</v>
      </c>
      <c r="J14" s="340"/>
    </row>
    <row r="15" spans="1:13" ht="18.75" x14ac:dyDescent="0.25">
      <c r="A15" s="340">
        <f t="shared" si="0"/>
        <v>6</v>
      </c>
      <c r="B15" s="253" t="s">
        <v>260</v>
      </c>
      <c r="C15" s="253" t="s">
        <v>1277</v>
      </c>
      <c r="D15" s="253" t="s">
        <v>1357</v>
      </c>
      <c r="E15" s="253" t="s">
        <v>685</v>
      </c>
      <c r="F15" s="253" t="s">
        <v>1283</v>
      </c>
      <c r="G15" s="501" t="s">
        <v>1275</v>
      </c>
      <c r="H15" s="253" t="s">
        <v>1284</v>
      </c>
      <c r="I15" s="340">
        <f t="shared" si="1"/>
        <v>6</v>
      </c>
      <c r="J15" s="340"/>
    </row>
    <row r="16" spans="1:13" x14ac:dyDescent="0.25">
      <c r="A16" s="340">
        <f t="shared" si="0"/>
        <v>7</v>
      </c>
      <c r="B16" s="32" t="s">
        <v>1285</v>
      </c>
      <c r="C16" s="490" t="str">
        <f>'True-Up'!C23</f>
        <v>2025</v>
      </c>
      <c r="D16" s="150">
        <v>108649.81287852107</v>
      </c>
      <c r="E16" s="151">
        <f>'True-Up'!J23</f>
        <v>6.7999999999999996E-3</v>
      </c>
      <c r="F16" s="140">
        <f>D16</f>
        <v>108649.81287852107</v>
      </c>
      <c r="G16" s="140">
        <f>((F16))*E16</f>
        <v>738.81872757394319</v>
      </c>
      <c r="H16" s="140">
        <f t="shared" ref="H16:H27" si="2">F16+G16</f>
        <v>109388.63160609502</v>
      </c>
      <c r="I16" s="340">
        <f t="shared" si="1"/>
        <v>7</v>
      </c>
      <c r="J16" s="340"/>
    </row>
    <row r="17" spans="1:10" x14ac:dyDescent="0.25">
      <c r="A17" s="340">
        <f t="shared" si="0"/>
        <v>8</v>
      </c>
      <c r="B17" s="32" t="s">
        <v>1286</v>
      </c>
      <c r="C17" s="490" t="str">
        <f>$C$16</f>
        <v>2025</v>
      </c>
      <c r="D17" s="152"/>
      <c r="E17" s="151">
        <f>'True-Up'!J24</f>
        <v>6.1999999999999998E-3</v>
      </c>
      <c r="F17" s="144">
        <f>H16</f>
        <v>109388.63160609502</v>
      </c>
      <c r="G17" s="144">
        <f t="shared" ref="G17:G27" si="3">((H16+F17)/2)*E17</f>
        <v>678.20951595778911</v>
      </c>
      <c r="H17" s="144">
        <f t="shared" si="2"/>
        <v>110066.84112205281</v>
      </c>
      <c r="I17" s="340">
        <f t="shared" si="1"/>
        <v>8</v>
      </c>
      <c r="J17" s="340"/>
    </row>
    <row r="18" spans="1:10" x14ac:dyDescent="0.25">
      <c r="A18" s="340">
        <f t="shared" si="0"/>
        <v>9</v>
      </c>
      <c r="B18" s="32" t="s">
        <v>1324</v>
      </c>
      <c r="C18" s="490" t="str">
        <f t="shared" ref="C18:C27" si="4">$C$16</f>
        <v>2025</v>
      </c>
      <c r="D18" s="152"/>
      <c r="E18" s="151">
        <f>'True-Up'!J25</f>
        <v>6.7999999999999996E-3</v>
      </c>
      <c r="F18" s="144">
        <f>H17</f>
        <v>110066.84112205281</v>
      </c>
      <c r="G18" s="144">
        <f t="shared" si="3"/>
        <v>748.45451962995901</v>
      </c>
      <c r="H18" s="144">
        <f t="shared" si="2"/>
        <v>110815.29564168277</v>
      </c>
      <c r="I18" s="340">
        <f t="shared" si="1"/>
        <v>9</v>
      </c>
      <c r="J18" s="340"/>
    </row>
    <row r="19" spans="1:10" x14ac:dyDescent="0.25">
      <c r="A19" s="340">
        <f t="shared" si="0"/>
        <v>10</v>
      </c>
      <c r="B19" s="32" t="s">
        <v>1325</v>
      </c>
      <c r="C19" s="490" t="str">
        <f t="shared" si="4"/>
        <v>2025</v>
      </c>
      <c r="D19" s="152"/>
      <c r="E19" s="151">
        <f>'True-Up'!J26</f>
        <v>6.1999999999999998E-3</v>
      </c>
      <c r="F19" s="144">
        <f t="shared" ref="F19:F27" si="5">H18</f>
        <v>110815.29564168277</v>
      </c>
      <c r="G19" s="144">
        <f t="shared" si="3"/>
        <v>687.05483297843307</v>
      </c>
      <c r="H19" s="144">
        <f t="shared" si="2"/>
        <v>111502.3504746612</v>
      </c>
      <c r="I19" s="340">
        <f t="shared" si="1"/>
        <v>10</v>
      </c>
      <c r="J19" s="340"/>
    </row>
    <row r="20" spans="1:10" x14ac:dyDescent="0.25">
      <c r="A20" s="340">
        <f t="shared" si="0"/>
        <v>11</v>
      </c>
      <c r="B20" s="32" t="s">
        <v>268</v>
      </c>
      <c r="C20" s="490" t="str">
        <f t="shared" si="4"/>
        <v>2025</v>
      </c>
      <c r="D20" s="152"/>
      <c r="E20" s="151">
        <f>'True-Up'!J27</f>
        <v>6.4000000000000003E-3</v>
      </c>
      <c r="F20" s="144">
        <f t="shared" si="5"/>
        <v>111502.3504746612</v>
      </c>
      <c r="G20" s="144">
        <f t="shared" si="3"/>
        <v>713.6150430378317</v>
      </c>
      <c r="H20" s="144">
        <f t="shared" si="2"/>
        <v>112215.96551769903</v>
      </c>
      <c r="I20" s="340">
        <f t="shared" si="1"/>
        <v>11</v>
      </c>
      <c r="J20" s="340"/>
    </row>
    <row r="21" spans="1:10" x14ac:dyDescent="0.25">
      <c r="A21" s="340">
        <f t="shared" si="0"/>
        <v>12</v>
      </c>
      <c r="B21" s="32" t="s">
        <v>1358</v>
      </c>
      <c r="C21" s="490" t="str">
        <f t="shared" si="4"/>
        <v>2025</v>
      </c>
      <c r="D21" s="152"/>
      <c r="E21" s="151">
        <f>'True-Up'!J28</f>
        <v>6.1999999999999998E-3</v>
      </c>
      <c r="F21" s="144">
        <f t="shared" si="5"/>
        <v>112215.96551769903</v>
      </c>
      <c r="G21" s="144">
        <f t="shared" si="3"/>
        <v>695.73898620973398</v>
      </c>
      <c r="H21" s="144">
        <f t="shared" si="2"/>
        <v>112911.70450390877</v>
      </c>
      <c r="I21" s="340">
        <f t="shared" si="1"/>
        <v>12</v>
      </c>
      <c r="J21" s="340"/>
    </row>
    <row r="22" spans="1:10" x14ac:dyDescent="0.25">
      <c r="A22" s="340">
        <f t="shared" si="0"/>
        <v>13</v>
      </c>
      <c r="B22" s="32" t="s">
        <v>1327</v>
      </c>
      <c r="C22" s="490" t="str">
        <f t="shared" si="4"/>
        <v>2025</v>
      </c>
      <c r="D22" s="152"/>
      <c r="E22" s="151">
        <f>'True-Up'!J29</f>
        <v>6.4000000000000003E-3</v>
      </c>
      <c r="F22" s="144">
        <f t="shared" si="5"/>
        <v>112911.70450390877</v>
      </c>
      <c r="G22" s="144">
        <f t="shared" si="3"/>
        <v>722.63490882501617</v>
      </c>
      <c r="H22" s="144">
        <f t="shared" si="2"/>
        <v>113634.33941273378</v>
      </c>
      <c r="I22" s="340">
        <f t="shared" si="1"/>
        <v>13</v>
      </c>
      <c r="J22" s="340"/>
    </row>
    <row r="23" spans="1:10" x14ac:dyDescent="0.25">
      <c r="A23" s="340">
        <f t="shared" si="0"/>
        <v>14</v>
      </c>
      <c r="B23" s="32" t="s">
        <v>1328</v>
      </c>
      <c r="C23" s="490" t="str">
        <f t="shared" si="4"/>
        <v>2025</v>
      </c>
      <c r="D23" s="152"/>
      <c r="E23" s="151">
        <f>'True-Up'!J30</f>
        <v>6.4000000000000003E-3</v>
      </c>
      <c r="F23" s="144">
        <f t="shared" si="5"/>
        <v>113634.33941273378</v>
      </c>
      <c r="G23" s="144">
        <f t="shared" si="3"/>
        <v>727.25977224149619</v>
      </c>
      <c r="H23" s="144">
        <f t="shared" si="2"/>
        <v>114361.59918497528</v>
      </c>
      <c r="I23" s="340">
        <f t="shared" si="1"/>
        <v>14</v>
      </c>
      <c r="J23" s="340"/>
    </row>
    <row r="24" spans="1:10" x14ac:dyDescent="0.25">
      <c r="A24" s="340">
        <f t="shared" si="0"/>
        <v>15</v>
      </c>
      <c r="B24" s="32" t="s">
        <v>1329</v>
      </c>
      <c r="C24" s="490" t="str">
        <f t="shared" si="4"/>
        <v>2025</v>
      </c>
      <c r="D24" s="152"/>
      <c r="E24" s="151">
        <f>'True-Up'!J31</f>
        <v>6.1999999999999998E-3</v>
      </c>
      <c r="F24" s="144">
        <f t="shared" si="5"/>
        <v>114361.59918497528</v>
      </c>
      <c r="G24" s="144">
        <f t="shared" si="3"/>
        <v>709.04191494684665</v>
      </c>
      <c r="H24" s="144">
        <f t="shared" si="2"/>
        <v>115070.64109992213</v>
      </c>
      <c r="I24" s="340">
        <f t="shared" si="1"/>
        <v>15</v>
      </c>
      <c r="J24" s="340"/>
    </row>
    <row r="25" spans="1:10" x14ac:dyDescent="0.25">
      <c r="A25" s="340">
        <f t="shared" si="0"/>
        <v>16</v>
      </c>
      <c r="B25" s="32" t="s">
        <v>1330</v>
      </c>
      <c r="C25" s="490" t="str">
        <f t="shared" si="4"/>
        <v>2025</v>
      </c>
      <c r="D25" s="152"/>
      <c r="E25" s="151">
        <f>'True-Up'!J32</f>
        <v>6.4000000000000003E-3</v>
      </c>
      <c r="F25" s="144">
        <f t="shared" si="5"/>
        <v>115070.64109992213</v>
      </c>
      <c r="G25" s="144">
        <f t="shared" si="3"/>
        <v>736.45210303950159</v>
      </c>
      <c r="H25" s="144">
        <f t="shared" si="2"/>
        <v>115807.09320296162</v>
      </c>
      <c r="I25" s="340">
        <f t="shared" si="1"/>
        <v>16</v>
      </c>
      <c r="J25" s="340"/>
    </row>
    <row r="26" spans="1:10" x14ac:dyDescent="0.25">
      <c r="A26" s="340">
        <f t="shared" si="0"/>
        <v>17</v>
      </c>
      <c r="B26" s="32" t="s">
        <v>1331</v>
      </c>
      <c r="C26" s="490" t="str">
        <f t="shared" si="4"/>
        <v>2025</v>
      </c>
      <c r="D26" s="152"/>
      <c r="E26" s="151">
        <f>'True-Up'!J33</f>
        <v>6.1999999999999998E-3</v>
      </c>
      <c r="F26" s="144">
        <f t="shared" si="5"/>
        <v>115807.09320296162</v>
      </c>
      <c r="G26" s="144">
        <f t="shared" si="3"/>
        <v>718.00397785836208</v>
      </c>
      <c r="H26" s="144">
        <f t="shared" si="2"/>
        <v>116525.09718081998</v>
      </c>
      <c r="I26" s="340">
        <f t="shared" si="1"/>
        <v>17</v>
      </c>
      <c r="J26" s="340"/>
    </row>
    <row r="27" spans="1:10" x14ac:dyDescent="0.25">
      <c r="A27" s="340">
        <f t="shared" si="0"/>
        <v>18</v>
      </c>
      <c r="B27" s="1056" t="s">
        <v>1332</v>
      </c>
      <c r="C27" s="1057" t="str">
        <f t="shared" si="4"/>
        <v>2025</v>
      </c>
      <c r="D27" s="1062"/>
      <c r="E27" s="1063">
        <f>'True-Up'!J34</f>
        <v>6.4000000000000003E-3</v>
      </c>
      <c r="F27" s="1058">
        <f t="shared" si="5"/>
        <v>116525.09718081998</v>
      </c>
      <c r="G27" s="1058">
        <f t="shared" si="3"/>
        <v>745.76062195724796</v>
      </c>
      <c r="H27" s="1058">
        <f t="shared" si="2"/>
        <v>117270.85780277723</v>
      </c>
      <c r="I27" s="340">
        <f t="shared" si="1"/>
        <v>18</v>
      </c>
      <c r="J27" s="340"/>
    </row>
    <row r="28" spans="1:10" ht="16.5" thickBot="1" x14ac:dyDescent="0.3">
      <c r="A28" s="340">
        <f t="shared" si="0"/>
        <v>19</v>
      </c>
      <c r="B28" s="32"/>
      <c r="C28" s="490"/>
      <c r="D28" s="152"/>
      <c r="E28" s="153"/>
      <c r="F28" s="154"/>
      <c r="G28" s="155">
        <f>SUM(G16:G27)</f>
        <v>8621.0449242561608</v>
      </c>
      <c r="H28" s="154"/>
      <c r="I28" s="340">
        <f t="shared" si="1"/>
        <v>19</v>
      </c>
      <c r="J28" s="340"/>
    </row>
    <row r="29" spans="1:10" ht="16.5" thickTop="1" x14ac:dyDescent="0.25">
      <c r="B29" s="32"/>
      <c r="C29" s="490"/>
      <c r="D29" s="152"/>
      <c r="E29" s="153"/>
      <c r="F29" s="154"/>
      <c r="G29" s="154"/>
      <c r="H29" s="154"/>
      <c r="J29" s="340"/>
    </row>
    <row r="30" spans="1:10" x14ac:dyDescent="0.25">
      <c r="B30" s="32"/>
      <c r="C30" s="490"/>
      <c r="D30" s="159"/>
      <c r="E30" s="152"/>
      <c r="F30" s="487"/>
      <c r="G30" s="153"/>
      <c r="H30" s="493"/>
      <c r="I30" s="582"/>
      <c r="J30" s="493"/>
    </row>
    <row r="31" spans="1:10" ht="18.75" x14ac:dyDescent="0.25">
      <c r="A31" s="252">
        <v>1</v>
      </c>
      <c r="B31" s="32" t="s">
        <v>1359</v>
      </c>
      <c r="C31" s="490"/>
      <c r="D31" s="159"/>
      <c r="E31" s="152"/>
      <c r="F31" s="487"/>
      <c r="G31" s="153"/>
      <c r="H31" s="493"/>
      <c r="I31" s="582"/>
      <c r="J31" s="493"/>
    </row>
    <row r="32" spans="1:10" ht="18.75" x14ac:dyDescent="0.25">
      <c r="A32" s="478">
        <v>2</v>
      </c>
      <c r="B32" s="32" t="s">
        <v>1299</v>
      </c>
      <c r="C32" s="490"/>
      <c r="D32" s="159"/>
      <c r="E32" s="152"/>
      <c r="F32" s="487"/>
      <c r="G32" s="153"/>
      <c r="H32" s="493"/>
      <c r="I32" s="582"/>
      <c r="J32" s="493"/>
    </row>
    <row r="33" spans="1:10" ht="18.75" x14ac:dyDescent="0.25">
      <c r="A33" s="252">
        <v>3</v>
      </c>
      <c r="B33" s="5" t="s">
        <v>1360</v>
      </c>
      <c r="C33" s="490"/>
      <c r="D33" s="159"/>
      <c r="E33" s="152"/>
      <c r="F33" s="487"/>
      <c r="G33" s="153"/>
      <c r="H33" s="493"/>
      <c r="I33" s="582"/>
      <c r="J33" s="493"/>
    </row>
    <row r="34" spans="1:10" ht="18.75" x14ac:dyDescent="0.25">
      <c r="A34" s="252">
        <v>4</v>
      </c>
      <c r="B34" s="5" t="s">
        <v>1361</v>
      </c>
    </row>
    <row r="35" spans="1:10" x14ac:dyDescent="0.25">
      <c r="B35" s="5" t="s">
        <v>1362</v>
      </c>
    </row>
  </sheetData>
  <mergeCells count="4">
    <mergeCell ref="B5:H5"/>
    <mergeCell ref="B2:H2"/>
    <mergeCell ref="B3:H3"/>
    <mergeCell ref="B4:H4"/>
  </mergeCells>
  <printOptions horizontalCentered="1"/>
  <pageMargins left="0.5" right="0.5" top="0.5" bottom="0.5" header="0.25" footer="0.25"/>
  <pageSetup scale="70" orientation="landscape" r:id="rId1"/>
  <headerFooter scaleWithDoc="0">
    <oddFooter>&amp;C&amp;"Times New Roman,Regular"&amp;10Interest True-Up BP</oddFooter>
  </headerFooter>
  <customProperties>
    <customPr name="_pios_id" r:id="rId2"/>
  </customPropertie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M39"/>
  <sheetViews>
    <sheetView zoomScale="80" zoomScaleNormal="80" workbookViewId="0">
      <selection activeCell="D31" sqref="D31"/>
    </sheetView>
  </sheetViews>
  <sheetFormatPr defaultColWidth="9.28515625" defaultRowHeight="15.75" x14ac:dyDescent="0.25"/>
  <cols>
    <col min="1" max="1" width="5.28515625" style="5" customWidth="1"/>
    <col min="2" max="3" width="21.42578125" style="5" customWidth="1"/>
    <col min="4" max="9" width="22" style="5" customWidth="1"/>
    <col min="10" max="10" width="5.28515625" style="340" customWidth="1"/>
    <col min="11" max="11" width="14" style="5" customWidth="1"/>
    <col min="12" max="12" width="13.28515625" style="5" customWidth="1"/>
    <col min="13" max="13" width="12.7109375" style="5" customWidth="1"/>
    <col min="14" max="14" width="13.5703125" style="5" customWidth="1"/>
    <col min="15" max="15" width="12.5703125" style="5" customWidth="1"/>
    <col min="16" max="16384" width="9.28515625" style="5"/>
  </cols>
  <sheetData>
    <row r="1" spans="1:10" x14ac:dyDescent="0.25">
      <c r="A1" s="482"/>
      <c r="B1" s="339"/>
      <c r="C1" s="464"/>
      <c r="D1" s="494"/>
      <c r="E1" s="495"/>
      <c r="F1" s="496"/>
      <c r="G1" s="497"/>
      <c r="H1" s="498"/>
      <c r="I1" s="498"/>
      <c r="J1" s="499"/>
    </row>
    <row r="2" spans="1:10" x14ac:dyDescent="0.25">
      <c r="B2" s="1334" t="s">
        <v>0</v>
      </c>
      <c r="C2" s="1334"/>
      <c r="D2" s="1334"/>
      <c r="E2" s="1334"/>
      <c r="F2" s="1334"/>
      <c r="G2" s="1334"/>
      <c r="H2" s="1334"/>
      <c r="I2" s="1334"/>
      <c r="J2" s="482"/>
    </row>
    <row r="3" spans="1:10" x14ac:dyDescent="0.25">
      <c r="B3" s="1357" t="str">
        <f>'Interest TU BP'!B3</f>
        <v>TO6-Cycle 3 Interest True-Up Adjustment</v>
      </c>
      <c r="C3" s="1357"/>
      <c r="D3" s="1357"/>
      <c r="E3" s="1357"/>
      <c r="F3" s="1357"/>
      <c r="G3" s="1357"/>
      <c r="H3" s="1357"/>
      <c r="I3" s="1357"/>
      <c r="J3" s="482"/>
    </row>
    <row r="4" spans="1:10" x14ac:dyDescent="0.25">
      <c r="B4" s="1357" t="str">
        <f>'True-Up'!B4</f>
        <v>For 12-Month True-Up Period January 1, 2025 Through December 31, 2025</v>
      </c>
      <c r="C4" s="1357"/>
      <c r="D4" s="1357"/>
      <c r="E4" s="1357"/>
      <c r="F4" s="1357"/>
      <c r="G4" s="1357"/>
      <c r="H4" s="1357"/>
      <c r="I4" s="1357"/>
      <c r="J4" s="482"/>
    </row>
    <row r="5" spans="1:10" x14ac:dyDescent="0.25">
      <c r="B5" s="1335" t="s">
        <v>4</v>
      </c>
      <c r="C5" s="1335"/>
      <c r="D5" s="1335"/>
      <c r="E5" s="1335"/>
      <c r="F5" s="1335"/>
      <c r="G5" s="1335"/>
      <c r="H5" s="1335"/>
      <c r="I5" s="1335"/>
      <c r="J5" s="482"/>
    </row>
    <row r="6" spans="1:10" x14ac:dyDescent="0.25">
      <c r="A6" s="482"/>
      <c r="B6" s="482"/>
      <c r="C6" s="482"/>
      <c r="D6" s="482"/>
      <c r="E6" s="482"/>
      <c r="F6" s="482"/>
      <c r="G6" s="482"/>
      <c r="H6" s="482"/>
      <c r="I6" s="482"/>
      <c r="J6" s="482"/>
    </row>
    <row r="7" spans="1:10" x14ac:dyDescent="0.25">
      <c r="A7" s="4" t="s">
        <v>5</v>
      </c>
      <c r="B7" s="32"/>
      <c r="C7" s="490"/>
      <c r="D7" s="159"/>
      <c r="E7" s="152"/>
      <c r="F7" s="487"/>
      <c r="G7" s="153"/>
      <c r="H7" s="493"/>
      <c r="I7" s="493"/>
      <c r="J7" s="4" t="s">
        <v>5</v>
      </c>
    </row>
    <row r="8" spans="1:10" x14ac:dyDescent="0.25">
      <c r="A8" s="4" t="s">
        <v>6</v>
      </c>
      <c r="B8" s="32"/>
      <c r="C8" s="490"/>
      <c r="D8" s="159"/>
      <c r="E8" s="152"/>
      <c r="F8" s="487"/>
      <c r="G8" s="153"/>
      <c r="H8" s="493"/>
      <c r="I8" s="493"/>
      <c r="J8" s="4" t="s">
        <v>6</v>
      </c>
    </row>
    <row r="9" spans="1:10" x14ac:dyDescent="0.25">
      <c r="B9" s="32"/>
      <c r="C9" s="490"/>
      <c r="D9" s="159"/>
      <c r="E9" s="152"/>
      <c r="F9" s="487"/>
      <c r="G9" s="153"/>
      <c r="H9" s="493"/>
      <c r="I9" s="493"/>
    </row>
    <row r="10" spans="1:10" x14ac:dyDescent="0.25">
      <c r="A10" s="340">
        <v>1</v>
      </c>
      <c r="C10" s="489" t="s">
        <v>1137</v>
      </c>
      <c r="D10" s="489" t="s">
        <v>1138</v>
      </c>
      <c r="E10" s="489" t="s">
        <v>1139</v>
      </c>
      <c r="F10" s="489" t="s">
        <v>1140</v>
      </c>
      <c r="G10" s="489" t="s">
        <v>1141</v>
      </c>
      <c r="H10" s="489" t="s">
        <v>1142</v>
      </c>
      <c r="I10" s="489" t="s">
        <v>1143</v>
      </c>
      <c r="J10" s="340">
        <f>A10</f>
        <v>1</v>
      </c>
    </row>
    <row r="11" spans="1:10" x14ac:dyDescent="0.25">
      <c r="A11" s="340">
        <f>A10+1</f>
        <v>2</v>
      </c>
      <c r="C11" s="489"/>
      <c r="D11" s="4"/>
      <c r="E11" s="4" t="s">
        <v>1349</v>
      </c>
      <c r="F11" s="4" t="s">
        <v>1350</v>
      </c>
      <c r="G11" s="34" t="s">
        <v>1363</v>
      </c>
      <c r="H11" s="34" t="s">
        <v>1364</v>
      </c>
      <c r="I11" s="34" t="s">
        <v>1365</v>
      </c>
      <c r="J11" s="340">
        <f>J10+1</f>
        <v>2</v>
      </c>
    </row>
    <row r="12" spans="1:10" x14ac:dyDescent="0.25">
      <c r="A12" s="340">
        <f t="shared" ref="A12:A32" si="0">A11+1</f>
        <v>3</v>
      </c>
      <c r="C12" s="489"/>
      <c r="D12" s="4"/>
      <c r="E12" s="4"/>
      <c r="F12" s="482"/>
      <c r="I12" s="489"/>
      <c r="J12" s="340">
        <f t="shared" ref="J12:J32" si="1">J11+1</f>
        <v>3</v>
      </c>
    </row>
    <row r="13" spans="1:10" x14ac:dyDescent="0.25">
      <c r="A13" s="340">
        <f t="shared" si="0"/>
        <v>4</v>
      </c>
      <c r="B13" s="32"/>
      <c r="C13" s="490"/>
      <c r="D13" s="217" t="s">
        <v>1268</v>
      </c>
      <c r="E13" s="499" t="s">
        <v>260</v>
      </c>
      <c r="F13" s="482"/>
      <c r="I13" s="261" t="s">
        <v>260</v>
      </c>
      <c r="J13" s="340">
        <f t="shared" si="1"/>
        <v>4</v>
      </c>
    </row>
    <row r="14" spans="1:10" x14ac:dyDescent="0.25">
      <c r="A14" s="340">
        <f t="shared" si="0"/>
        <v>5</v>
      </c>
      <c r="C14" s="490"/>
      <c r="D14" s="217" t="s">
        <v>1275</v>
      </c>
      <c r="E14" s="499" t="s">
        <v>1366</v>
      </c>
      <c r="F14" s="482"/>
      <c r="I14" s="261" t="s">
        <v>1367</v>
      </c>
      <c r="J14" s="340">
        <f t="shared" si="1"/>
        <v>5</v>
      </c>
    </row>
    <row r="15" spans="1:10" ht="18.75" x14ac:dyDescent="0.25">
      <c r="A15" s="340">
        <f t="shared" si="0"/>
        <v>6</v>
      </c>
      <c r="B15" s="253" t="s">
        <v>260</v>
      </c>
      <c r="C15" s="253" t="s">
        <v>1277</v>
      </c>
      <c r="D15" s="253" t="s">
        <v>1368</v>
      </c>
      <c r="E15" s="500" t="s">
        <v>341</v>
      </c>
      <c r="F15" s="501" t="s">
        <v>1369</v>
      </c>
      <c r="G15" s="253" t="s">
        <v>1370</v>
      </c>
      <c r="H15" s="253" t="s">
        <v>1275</v>
      </c>
      <c r="I15" s="489" t="s">
        <v>341</v>
      </c>
      <c r="J15" s="340">
        <f t="shared" si="1"/>
        <v>6</v>
      </c>
    </row>
    <row r="16" spans="1:10" x14ac:dyDescent="0.25">
      <c r="A16" s="340">
        <f t="shared" si="0"/>
        <v>7</v>
      </c>
      <c r="B16" s="32" t="s">
        <v>1285</v>
      </c>
      <c r="C16" s="490">
        <f>IFERROR(('True-Up'!C23+1),"xxxx")</f>
        <v>2026</v>
      </c>
      <c r="D16" s="151">
        <f>AVERAGE('True-Up'!J23:J34)</f>
        <v>6.3833333333333337E-3</v>
      </c>
      <c r="E16" s="156">
        <f>'Interest TU BP'!H27</f>
        <v>117270.85780277723</v>
      </c>
      <c r="F16" s="141">
        <f>IFERROR(-E16/(((1+D16)^12-1)/(D16*(1+D16)^12)),0)</f>
        <v>-10182.781463763982</v>
      </c>
      <c r="G16" s="141">
        <f>-(F16+H16)</f>
        <v>9434.2024881229208</v>
      </c>
      <c r="H16" s="141">
        <f>E16*D16</f>
        <v>748.57897564106133</v>
      </c>
      <c r="I16" s="157">
        <f>E16-G16</f>
        <v>107836.65531465432</v>
      </c>
      <c r="J16" s="340">
        <f t="shared" si="1"/>
        <v>7</v>
      </c>
    </row>
    <row r="17" spans="1:13" x14ac:dyDescent="0.25">
      <c r="A17" s="340">
        <f t="shared" si="0"/>
        <v>8</v>
      </c>
      <c r="B17" s="32" t="s">
        <v>1286</v>
      </c>
      <c r="C17" s="490">
        <f>$C$16</f>
        <v>2026</v>
      </c>
      <c r="D17" s="153">
        <f t="shared" ref="D17:D27" si="2">$D$16</f>
        <v>6.3833333333333337E-3</v>
      </c>
      <c r="E17" s="144">
        <f>I16</f>
        <v>107836.65531465432</v>
      </c>
      <c r="F17" s="115">
        <f>IFERROR(-E16/(((1+D16)^12-1)/(D16*(1+D16)^12)),0)</f>
        <v>-10182.781463763982</v>
      </c>
      <c r="G17" s="115">
        <f t="shared" ref="G17:G27" si="3">-(F17+H17)</f>
        <v>9494.4241473387719</v>
      </c>
      <c r="H17" s="115">
        <f>E17*D17</f>
        <v>688.35731642521012</v>
      </c>
      <c r="I17" s="158">
        <f>E17-G17</f>
        <v>98342.231167315549</v>
      </c>
      <c r="J17" s="340">
        <f t="shared" si="1"/>
        <v>8</v>
      </c>
      <c r="L17" s="492"/>
    </row>
    <row r="18" spans="1:13" x14ac:dyDescent="0.25">
      <c r="A18" s="340">
        <f t="shared" si="0"/>
        <v>9</v>
      </c>
      <c r="B18" s="32" t="s">
        <v>1324</v>
      </c>
      <c r="C18" s="490">
        <f t="shared" ref="C18:C27" si="4">$C$16</f>
        <v>2026</v>
      </c>
      <c r="D18" s="153">
        <f t="shared" si="2"/>
        <v>6.3833333333333337E-3</v>
      </c>
      <c r="E18" s="144">
        <f t="shared" ref="E18:E27" si="5">I17</f>
        <v>98342.231167315549</v>
      </c>
      <c r="F18" s="115">
        <f>IFERROR(-E16/(((1+D16)^12-1)/(D16*(1+D16)^12)),0)</f>
        <v>-10182.781463763982</v>
      </c>
      <c r="G18" s="115">
        <f t="shared" si="3"/>
        <v>9555.0302214792846</v>
      </c>
      <c r="H18" s="115">
        <f t="shared" ref="H18:H27" si="6">E18*D18</f>
        <v>627.75124228469758</v>
      </c>
      <c r="I18" s="158">
        <f t="shared" ref="I18:I26" si="7">E18-G18</f>
        <v>88787.200945836259</v>
      </c>
      <c r="J18" s="340">
        <f t="shared" si="1"/>
        <v>9</v>
      </c>
    </row>
    <row r="19" spans="1:13" x14ac:dyDescent="0.25">
      <c r="A19" s="340">
        <f t="shared" si="0"/>
        <v>10</v>
      </c>
      <c r="B19" s="32" t="s">
        <v>1325</v>
      </c>
      <c r="C19" s="490">
        <f t="shared" si="4"/>
        <v>2026</v>
      </c>
      <c r="D19" s="153">
        <f t="shared" si="2"/>
        <v>6.3833333333333337E-3</v>
      </c>
      <c r="E19" s="144">
        <f t="shared" si="5"/>
        <v>88787.200945836259</v>
      </c>
      <c r="F19" s="115">
        <f>IFERROR(-E16/(((1+D16)^12-1)/(D16*(1+D16)^12)),0)</f>
        <v>-10182.781463763982</v>
      </c>
      <c r="G19" s="115">
        <f t="shared" si="3"/>
        <v>9616.0231643930601</v>
      </c>
      <c r="H19" s="115">
        <f t="shared" si="6"/>
        <v>566.75829937092146</v>
      </c>
      <c r="I19" s="158">
        <f t="shared" si="7"/>
        <v>79171.177781443199</v>
      </c>
      <c r="J19" s="340">
        <f t="shared" si="1"/>
        <v>10</v>
      </c>
    </row>
    <row r="20" spans="1:13" x14ac:dyDescent="0.25">
      <c r="A20" s="340">
        <f t="shared" si="0"/>
        <v>11</v>
      </c>
      <c r="B20" s="32" t="s">
        <v>268</v>
      </c>
      <c r="C20" s="490">
        <f t="shared" si="4"/>
        <v>2026</v>
      </c>
      <c r="D20" s="153">
        <f t="shared" si="2"/>
        <v>6.3833333333333337E-3</v>
      </c>
      <c r="E20" s="144">
        <f t="shared" si="5"/>
        <v>79171.177781443199</v>
      </c>
      <c r="F20" s="115">
        <f>IFERROR(-E16/(((1+D16)^12-1)/(D16*(1+D16)^12)),0)</f>
        <v>-10182.781463763982</v>
      </c>
      <c r="G20" s="115">
        <f t="shared" si="3"/>
        <v>9677.4054455924361</v>
      </c>
      <c r="H20" s="115">
        <f t="shared" si="6"/>
        <v>505.37601817154581</v>
      </c>
      <c r="I20" s="158">
        <f t="shared" si="7"/>
        <v>69493.772335850765</v>
      </c>
      <c r="J20" s="340">
        <f t="shared" si="1"/>
        <v>11</v>
      </c>
    </row>
    <row r="21" spans="1:13" x14ac:dyDescent="0.25">
      <c r="A21" s="340">
        <f t="shared" si="0"/>
        <v>12</v>
      </c>
      <c r="B21" s="32" t="s">
        <v>1326</v>
      </c>
      <c r="C21" s="490">
        <f t="shared" si="4"/>
        <v>2026</v>
      </c>
      <c r="D21" s="153">
        <f t="shared" si="2"/>
        <v>6.3833333333333337E-3</v>
      </c>
      <c r="E21" s="144">
        <f t="shared" si="5"/>
        <v>69493.772335850765</v>
      </c>
      <c r="F21" s="115">
        <f>IFERROR(-E16/(((1+D16)^12-1)/(D16*(1+D16)^12)),0)</f>
        <v>-10182.781463763982</v>
      </c>
      <c r="G21" s="115">
        <f t="shared" si="3"/>
        <v>9739.1795503534686</v>
      </c>
      <c r="H21" s="115">
        <f t="shared" si="6"/>
        <v>443.6019134105141</v>
      </c>
      <c r="I21" s="158">
        <f t="shared" si="7"/>
        <v>59754.592785497298</v>
      </c>
      <c r="J21" s="340">
        <f t="shared" si="1"/>
        <v>12</v>
      </c>
    </row>
    <row r="22" spans="1:13" x14ac:dyDescent="0.25">
      <c r="A22" s="340">
        <f t="shared" si="0"/>
        <v>13</v>
      </c>
      <c r="B22" s="32" t="s">
        <v>1327</v>
      </c>
      <c r="C22" s="490">
        <f t="shared" si="4"/>
        <v>2026</v>
      </c>
      <c r="D22" s="153">
        <f t="shared" si="2"/>
        <v>6.3833333333333337E-3</v>
      </c>
      <c r="E22" s="144">
        <f t="shared" si="5"/>
        <v>59754.592785497298</v>
      </c>
      <c r="F22" s="115">
        <f>IFERROR(-E16/(((1+D16)^12-1)/(D16*(1+D16)^12)),0)</f>
        <v>-10182.781463763982</v>
      </c>
      <c r="G22" s="115">
        <f t="shared" si="3"/>
        <v>9801.3479798165572</v>
      </c>
      <c r="H22" s="115">
        <f t="shared" si="6"/>
        <v>381.43348394742446</v>
      </c>
      <c r="I22" s="158">
        <f t="shared" si="7"/>
        <v>49953.244805680741</v>
      </c>
      <c r="J22" s="340">
        <f t="shared" si="1"/>
        <v>13</v>
      </c>
    </row>
    <row r="23" spans="1:13" x14ac:dyDescent="0.25">
      <c r="A23" s="340">
        <f t="shared" si="0"/>
        <v>14</v>
      </c>
      <c r="B23" s="32" t="s">
        <v>1328</v>
      </c>
      <c r="C23" s="490">
        <f t="shared" si="4"/>
        <v>2026</v>
      </c>
      <c r="D23" s="153">
        <f t="shared" si="2"/>
        <v>6.3833333333333337E-3</v>
      </c>
      <c r="E23" s="144">
        <f t="shared" si="5"/>
        <v>49953.244805680741</v>
      </c>
      <c r="F23" s="115">
        <f>IFERROR(-E16/(((1+D16)^12-1)/(D16*(1+D16)^12)),0)</f>
        <v>-10182.781463763982</v>
      </c>
      <c r="G23" s="115">
        <f t="shared" si="3"/>
        <v>9863.9132510877207</v>
      </c>
      <c r="H23" s="115">
        <f t="shared" si="6"/>
        <v>318.86821267626209</v>
      </c>
      <c r="I23" s="158">
        <f t="shared" si="7"/>
        <v>40089.331554593024</v>
      </c>
      <c r="J23" s="340">
        <f t="shared" si="1"/>
        <v>14</v>
      </c>
    </row>
    <row r="24" spans="1:13" x14ac:dyDescent="0.25">
      <c r="A24" s="340">
        <f t="shared" si="0"/>
        <v>15</v>
      </c>
      <c r="B24" s="32" t="s">
        <v>1329</v>
      </c>
      <c r="C24" s="490">
        <f t="shared" si="4"/>
        <v>2026</v>
      </c>
      <c r="D24" s="153">
        <f t="shared" si="2"/>
        <v>6.3833333333333337E-3</v>
      </c>
      <c r="E24" s="144">
        <f t="shared" si="5"/>
        <v>40089.331554593024</v>
      </c>
      <c r="F24" s="115">
        <f>IFERROR(-E16/(((1+D16)^12-1)/(D16*(1+D16)^12)),0)</f>
        <v>-10182.781463763982</v>
      </c>
      <c r="G24" s="115">
        <f t="shared" si="3"/>
        <v>9926.8778973404969</v>
      </c>
      <c r="H24" s="115">
        <f t="shared" si="6"/>
        <v>255.90356642348547</v>
      </c>
      <c r="I24" s="158">
        <f t="shared" si="7"/>
        <v>30162.453657252525</v>
      </c>
      <c r="J24" s="340">
        <f t="shared" si="1"/>
        <v>15</v>
      </c>
      <c r="K24" s="488"/>
    </row>
    <row r="25" spans="1:13" x14ac:dyDescent="0.25">
      <c r="A25" s="340">
        <f t="shared" si="0"/>
        <v>16</v>
      </c>
      <c r="B25" s="32" t="s">
        <v>1330</v>
      </c>
      <c r="C25" s="490">
        <f t="shared" si="4"/>
        <v>2026</v>
      </c>
      <c r="D25" s="153">
        <f t="shared" si="2"/>
        <v>6.3833333333333337E-3</v>
      </c>
      <c r="E25" s="144">
        <f t="shared" si="5"/>
        <v>30162.453657252525</v>
      </c>
      <c r="F25" s="115">
        <f>IFERROR(-E16/(((1+D16)^12-1)/(D16*(1+D16)^12)),0)</f>
        <v>-10182.781463763982</v>
      </c>
      <c r="G25" s="115">
        <f t="shared" si="3"/>
        <v>9990.244467918521</v>
      </c>
      <c r="H25" s="115">
        <f t="shared" si="6"/>
        <v>192.53699584546197</v>
      </c>
      <c r="I25" s="158">
        <f t="shared" si="7"/>
        <v>20172.209189334004</v>
      </c>
      <c r="J25" s="340">
        <f t="shared" si="1"/>
        <v>16</v>
      </c>
      <c r="K25" s="488"/>
      <c r="M25" s="153"/>
    </row>
    <row r="26" spans="1:13" x14ac:dyDescent="0.25">
      <c r="A26" s="340">
        <f t="shared" si="0"/>
        <v>17</v>
      </c>
      <c r="B26" s="32" t="s">
        <v>1331</v>
      </c>
      <c r="C26" s="490">
        <f t="shared" si="4"/>
        <v>2026</v>
      </c>
      <c r="D26" s="153">
        <f t="shared" si="2"/>
        <v>6.3833333333333337E-3</v>
      </c>
      <c r="E26" s="144">
        <f t="shared" si="5"/>
        <v>20172.209189334004</v>
      </c>
      <c r="F26" s="115">
        <f>IFERROR(-E16/(((1+D16)^12-1)/(D16*(1+D16)^12)),0)</f>
        <v>-10182.781463763982</v>
      </c>
      <c r="G26" s="115">
        <f t="shared" si="3"/>
        <v>10054.015528438733</v>
      </c>
      <c r="H26" s="115">
        <f t="shared" si="6"/>
        <v>128.76593532524873</v>
      </c>
      <c r="I26" s="158">
        <f t="shared" si="7"/>
        <v>10118.193660895271</v>
      </c>
      <c r="J26" s="340">
        <f t="shared" si="1"/>
        <v>17</v>
      </c>
      <c r="K26" s="488"/>
    </row>
    <row r="27" spans="1:13" x14ac:dyDescent="0.25">
      <c r="A27" s="340">
        <f t="shared" si="0"/>
        <v>18</v>
      </c>
      <c r="B27" s="1056" t="s">
        <v>1332</v>
      </c>
      <c r="C27" s="1057">
        <f t="shared" si="4"/>
        <v>2026</v>
      </c>
      <c r="D27" s="1064">
        <f t="shared" si="2"/>
        <v>6.3833333333333337E-3</v>
      </c>
      <c r="E27" s="1058">
        <f t="shared" si="5"/>
        <v>10118.193660895271</v>
      </c>
      <c r="F27" s="1059">
        <f>IFERROR(-E16/(((1+D16)^12-1)/(D16*(1+D16)^12)),0)</f>
        <v>-10182.781463763982</v>
      </c>
      <c r="G27" s="1059">
        <f t="shared" si="3"/>
        <v>10118.193660895267</v>
      </c>
      <c r="H27" s="1059">
        <f t="shared" si="6"/>
        <v>64.587802868714817</v>
      </c>
      <c r="I27" s="1065">
        <f>E27-G27</f>
        <v>0</v>
      </c>
      <c r="J27" s="340">
        <f t="shared" si="1"/>
        <v>18</v>
      </c>
    </row>
    <row r="28" spans="1:13" ht="16.5" thickBot="1" x14ac:dyDescent="0.3">
      <c r="A28" s="340">
        <f t="shared" si="0"/>
        <v>19</v>
      </c>
      <c r="B28" s="32"/>
      <c r="C28" s="490"/>
      <c r="D28" s="159"/>
      <c r="E28" s="160"/>
      <c r="F28" s="161"/>
      <c r="H28" s="146">
        <f>SUM(H16:H27)</f>
        <v>4922.5197623905478</v>
      </c>
      <c r="I28" s="161"/>
      <c r="J28" s="340">
        <f t="shared" si="1"/>
        <v>19</v>
      </c>
    </row>
    <row r="29" spans="1:13" ht="16.5" thickTop="1" x14ac:dyDescent="0.25">
      <c r="A29" s="340">
        <f t="shared" si="0"/>
        <v>20</v>
      </c>
      <c r="B29" s="32"/>
      <c r="C29" s="490"/>
      <c r="D29" s="160"/>
      <c r="E29" s="161"/>
      <c r="F29" s="161"/>
      <c r="G29" s="161"/>
      <c r="H29" s="154"/>
      <c r="I29" s="154"/>
      <c r="J29" s="340">
        <f t="shared" si="1"/>
        <v>20</v>
      </c>
      <c r="K29" s="161"/>
    </row>
    <row r="30" spans="1:13" x14ac:dyDescent="0.25">
      <c r="A30" s="340">
        <f t="shared" si="0"/>
        <v>21</v>
      </c>
      <c r="B30" s="5" t="s">
        <v>1371</v>
      </c>
      <c r="D30" s="139">
        <f>'True-Up'!M34</f>
        <v>0</v>
      </c>
      <c r="E30" s="502" t="s">
        <v>1372</v>
      </c>
      <c r="F30" s="503"/>
      <c r="G30" s="503"/>
      <c r="J30" s="340">
        <f t="shared" si="1"/>
        <v>21</v>
      </c>
    </row>
    <row r="31" spans="1:13" x14ac:dyDescent="0.25">
      <c r="A31" s="340">
        <f t="shared" si="0"/>
        <v>22</v>
      </c>
      <c r="B31" s="5" t="s">
        <v>1373</v>
      </c>
      <c r="D31" s="1066">
        <f>'Interest TU BP'!G28+'Interest TU CY'!H28</f>
        <v>13543.564686646709</v>
      </c>
      <c r="E31" s="504" t="s">
        <v>1374</v>
      </c>
      <c r="F31" s="503"/>
      <c r="G31" s="503"/>
      <c r="J31" s="340">
        <f t="shared" si="1"/>
        <v>22</v>
      </c>
    </row>
    <row r="32" spans="1:13" x14ac:dyDescent="0.25">
      <c r="A32" s="340">
        <f t="shared" si="0"/>
        <v>23</v>
      </c>
      <c r="B32" s="5" t="s">
        <v>180</v>
      </c>
      <c r="D32" s="35">
        <f>D30+D31</f>
        <v>13543.564686646709</v>
      </c>
      <c r="F32" s="503"/>
      <c r="G32" s="503"/>
      <c r="J32" s="340">
        <f t="shared" si="1"/>
        <v>23</v>
      </c>
    </row>
    <row r="33" spans="1:2" x14ac:dyDescent="0.25">
      <c r="A33" s="340"/>
    </row>
    <row r="34" spans="1:2" x14ac:dyDescent="0.25">
      <c r="A34" s="340"/>
    </row>
    <row r="35" spans="1:2" ht="18.75" x14ac:dyDescent="0.25">
      <c r="A35" s="252">
        <v>1</v>
      </c>
      <c r="B35" s="5" t="s">
        <v>1375</v>
      </c>
    </row>
    <row r="36" spans="1:2" ht="18.75" x14ac:dyDescent="0.25">
      <c r="A36" s="252">
        <v>2</v>
      </c>
      <c r="B36" s="5" t="s">
        <v>1376</v>
      </c>
    </row>
    <row r="37" spans="1:2" ht="18.75" x14ac:dyDescent="0.25">
      <c r="A37" s="252"/>
      <c r="B37" s="5" t="s">
        <v>1377</v>
      </c>
    </row>
    <row r="38" spans="1:2" ht="18.75" x14ac:dyDescent="0.25">
      <c r="A38" s="252">
        <v>3</v>
      </c>
      <c r="B38" s="5" t="s">
        <v>1378</v>
      </c>
    </row>
    <row r="39" spans="1:2" x14ac:dyDescent="0.25">
      <c r="B39" s="5" t="s">
        <v>1379</v>
      </c>
    </row>
  </sheetData>
  <mergeCells count="4">
    <mergeCell ref="B5:I5"/>
    <mergeCell ref="B2:I2"/>
    <mergeCell ref="B3:I3"/>
    <mergeCell ref="B4:I4"/>
  </mergeCells>
  <printOptions horizontalCentered="1"/>
  <pageMargins left="0.5" right="0.5" top="0.5" bottom="0.5" header="0.25" footer="0.25"/>
  <pageSetup scale="69" orientation="landscape" r:id="rId1"/>
  <headerFooter scaleWithDoc="0">
    <oddFooter>&amp;C&amp;"Times New Roman,Regular"&amp;10Interest True-Up CY</oddFooter>
  </headerFooter>
  <customProperties>
    <customPr name="_pios_id" r:id="rId2"/>
  </customPropertie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2:K52"/>
  <sheetViews>
    <sheetView topLeftCell="A2" zoomScale="80" zoomScaleNormal="80" workbookViewId="0">
      <selection activeCell="D40" sqref="D40"/>
    </sheetView>
  </sheetViews>
  <sheetFormatPr defaultColWidth="9.28515625" defaultRowHeight="15.75" x14ac:dyDescent="0.25"/>
  <cols>
    <col min="1" max="1" width="5.28515625" style="1" customWidth="1"/>
    <col min="2" max="2" width="76.7109375" style="1" customWidth="1"/>
    <col min="3" max="3" width="2.28515625" style="1" customWidth="1"/>
    <col min="4" max="6" width="31.7109375" style="167" customWidth="1"/>
    <col min="7" max="7" width="5.28515625" style="1" customWidth="1"/>
    <col min="8" max="16384" width="9.28515625" style="1"/>
  </cols>
  <sheetData>
    <row r="2" spans="1:7" x14ac:dyDescent="0.25">
      <c r="B2" s="1316" t="s">
        <v>0</v>
      </c>
      <c r="C2" s="1316"/>
      <c r="D2" s="1316"/>
      <c r="E2" s="1316"/>
      <c r="F2" s="1316"/>
      <c r="G2" s="31"/>
    </row>
    <row r="3" spans="1:7" x14ac:dyDescent="0.25">
      <c r="B3" s="1316" t="s">
        <v>1380</v>
      </c>
      <c r="C3" s="1316"/>
      <c r="D3" s="1316"/>
      <c r="E3" s="1316"/>
      <c r="F3" s="1316"/>
      <c r="G3" s="31"/>
    </row>
    <row r="4" spans="1:7" x14ac:dyDescent="0.25">
      <c r="B4" s="1316" t="s">
        <v>2058</v>
      </c>
      <c r="C4" s="1316"/>
      <c r="D4" s="1316"/>
      <c r="E4" s="1316"/>
      <c r="F4" s="1316"/>
      <c r="G4" s="31"/>
    </row>
    <row r="5" spans="1:7" x14ac:dyDescent="0.25">
      <c r="B5" s="1312" t="s">
        <v>4</v>
      </c>
      <c r="C5" s="1312"/>
      <c r="D5" s="1312"/>
      <c r="E5" s="1312"/>
      <c r="F5" s="1312"/>
      <c r="G5" s="31"/>
    </row>
    <row r="6" spans="1:7" x14ac:dyDescent="0.25">
      <c r="B6" s="261"/>
      <c r="C6" s="261"/>
      <c r="D6" s="4"/>
      <c r="E6" s="4"/>
      <c r="F6" s="217"/>
      <c r="G6" s="31"/>
    </row>
    <row r="7" spans="1:7" ht="16.5" thickBot="1" x14ac:dyDescent="0.3">
      <c r="B7" s="217"/>
      <c r="C7" s="217"/>
      <c r="D7" s="217" t="s">
        <v>1381</v>
      </c>
      <c r="E7" s="217" t="s">
        <v>188</v>
      </c>
      <c r="F7" s="217" t="s">
        <v>1382</v>
      </c>
    </row>
    <row r="8" spans="1:7" s="247" customFormat="1" x14ac:dyDescent="0.25">
      <c r="A8" s="4" t="s">
        <v>5</v>
      </c>
      <c r="B8" s="507"/>
      <c r="C8" s="455"/>
      <c r="D8" s="508" t="s">
        <v>1383</v>
      </c>
      <c r="E8" s="509" t="s">
        <v>1384</v>
      </c>
      <c r="F8" s="510" t="s">
        <v>1385</v>
      </c>
      <c r="G8" s="4" t="s">
        <v>5</v>
      </c>
    </row>
    <row r="9" spans="1:7" s="247" customFormat="1" ht="16.5" thickBot="1" x14ac:dyDescent="0.3">
      <c r="A9" s="4" t="s">
        <v>6</v>
      </c>
      <c r="B9" s="511" t="s">
        <v>1386</v>
      </c>
      <c r="C9" s="889"/>
      <c r="D9" s="512" t="s">
        <v>180</v>
      </c>
      <c r="E9" s="1067" t="s">
        <v>1387</v>
      </c>
      <c r="F9" s="513" t="s">
        <v>1388</v>
      </c>
      <c r="G9" s="4" t="s">
        <v>6</v>
      </c>
    </row>
    <row r="10" spans="1:7" x14ac:dyDescent="0.25">
      <c r="B10" s="514"/>
      <c r="D10" s="166"/>
      <c r="F10" s="166"/>
    </row>
    <row r="11" spans="1:7" x14ac:dyDescent="0.25">
      <c r="A11" s="4">
        <v>1</v>
      </c>
      <c r="B11" s="515" t="s">
        <v>1467</v>
      </c>
      <c r="D11" s="162">
        <f>E11+F11</f>
        <v>124446.45326999995</v>
      </c>
      <c r="E11" s="162">
        <v>49740.062365738748</v>
      </c>
      <c r="F11" s="672">
        <v>74706.390904261207</v>
      </c>
      <c r="G11" s="4">
        <f>A11</f>
        <v>1</v>
      </c>
    </row>
    <row r="12" spans="1:7" x14ac:dyDescent="0.25">
      <c r="A12" s="4">
        <f>A11+1</f>
        <v>2</v>
      </c>
      <c r="B12" s="515" t="s">
        <v>1468</v>
      </c>
      <c r="D12" s="163">
        <f t="shared" ref="D12:D32" si="0">E12+F12</f>
        <v>236329.39050000001</v>
      </c>
      <c r="E12" s="6">
        <v>236329.39050000001</v>
      </c>
      <c r="F12" s="163">
        <v>0</v>
      </c>
      <c r="G12" s="4">
        <f>G11+1</f>
        <v>2</v>
      </c>
    </row>
    <row r="13" spans="1:7" x14ac:dyDescent="0.25">
      <c r="A13" s="4">
        <f t="shared" ref="A13:A18" si="1">A12+1</f>
        <v>3</v>
      </c>
      <c r="B13" s="515" t="s">
        <v>1469</v>
      </c>
      <c r="D13" s="163">
        <f t="shared" si="0"/>
        <v>64363.335399999996</v>
      </c>
      <c r="E13" s="6">
        <v>12349.268389999992</v>
      </c>
      <c r="F13" s="163">
        <v>52014.067010000006</v>
      </c>
      <c r="G13" s="4">
        <f t="shared" ref="G13:G19" si="2">G12+1</f>
        <v>3</v>
      </c>
    </row>
    <row r="14" spans="1:7" x14ac:dyDescent="0.25">
      <c r="A14" s="4">
        <f t="shared" si="1"/>
        <v>4</v>
      </c>
      <c r="B14" s="515" t="s">
        <v>1470</v>
      </c>
      <c r="D14" s="163">
        <f t="shared" si="0"/>
        <v>43085.400562499977</v>
      </c>
      <c r="E14" s="6">
        <v>25858.280703768127</v>
      </c>
      <c r="F14" s="163">
        <v>17227.11985873185</v>
      </c>
      <c r="G14" s="4">
        <f t="shared" si="2"/>
        <v>4</v>
      </c>
    </row>
    <row r="15" spans="1:7" x14ac:dyDescent="0.25">
      <c r="A15" s="4">
        <f t="shared" si="1"/>
        <v>5</v>
      </c>
      <c r="B15" s="515" t="s">
        <v>1471</v>
      </c>
      <c r="D15" s="163">
        <f t="shared" si="0"/>
        <v>275985.24401000014</v>
      </c>
      <c r="E15" s="6">
        <v>8436.0935099764138</v>
      </c>
      <c r="F15" s="163">
        <v>267549.15050002374</v>
      </c>
      <c r="G15" s="4">
        <f t="shared" si="2"/>
        <v>5</v>
      </c>
    </row>
    <row r="16" spans="1:7" x14ac:dyDescent="0.25">
      <c r="A16" s="4">
        <f t="shared" si="1"/>
        <v>6</v>
      </c>
      <c r="B16" s="515" t="s">
        <v>1472</v>
      </c>
      <c r="D16" s="163">
        <f t="shared" si="0"/>
        <v>242146.89530000003</v>
      </c>
      <c r="E16" s="6">
        <v>26531.662545591273</v>
      </c>
      <c r="F16" s="163">
        <v>215615.23275440876</v>
      </c>
      <c r="G16" s="4">
        <f t="shared" si="2"/>
        <v>6</v>
      </c>
    </row>
    <row r="17" spans="1:7" x14ac:dyDescent="0.25">
      <c r="A17" s="4">
        <f t="shared" si="1"/>
        <v>7</v>
      </c>
      <c r="B17" s="515" t="s">
        <v>1473</v>
      </c>
      <c r="D17" s="163">
        <f t="shared" si="0"/>
        <v>135907.47983824796</v>
      </c>
      <c r="E17" s="6">
        <v>79215.01848672163</v>
      </c>
      <c r="F17" s="163">
        <v>56692.461351526326</v>
      </c>
      <c r="G17" s="4">
        <f t="shared" si="2"/>
        <v>7</v>
      </c>
    </row>
    <row r="18" spans="1:7" x14ac:dyDescent="0.25">
      <c r="A18" s="4">
        <f t="shared" si="1"/>
        <v>8</v>
      </c>
      <c r="B18" s="515" t="s">
        <v>1474</v>
      </c>
      <c r="D18" s="163">
        <f t="shared" si="0"/>
        <v>20481.560169999993</v>
      </c>
      <c r="E18" s="6">
        <v>0</v>
      </c>
      <c r="F18" s="163">
        <v>20481.560169999993</v>
      </c>
      <c r="G18" s="4">
        <f t="shared" si="2"/>
        <v>8</v>
      </c>
    </row>
    <row r="19" spans="1:7" x14ac:dyDescent="0.25">
      <c r="A19" s="4">
        <f t="shared" ref="A19:A32" si="3">A18+1</f>
        <v>9</v>
      </c>
      <c r="B19" s="516" t="s">
        <v>1475</v>
      </c>
      <c r="C19" s="517"/>
      <c r="D19" s="163">
        <f>E19+F19</f>
        <v>12682.362810000001</v>
      </c>
      <c r="E19" s="6">
        <v>0</v>
      </c>
      <c r="F19" s="163">
        <v>12682.362810000001</v>
      </c>
      <c r="G19" s="4">
        <f t="shared" si="2"/>
        <v>9</v>
      </c>
    </row>
    <row r="20" spans="1:7" x14ac:dyDescent="0.25">
      <c r="A20" s="4">
        <f t="shared" si="3"/>
        <v>10</v>
      </c>
      <c r="B20" s="515" t="s">
        <v>1476</v>
      </c>
      <c r="D20" s="163">
        <f t="shared" si="0"/>
        <v>20543.114079999999</v>
      </c>
      <c r="E20" s="6">
        <v>0</v>
      </c>
      <c r="F20" s="163">
        <v>20543.114079999999</v>
      </c>
      <c r="G20" s="4">
        <f t="shared" ref="G20:G32" si="4">G19+1</f>
        <v>10</v>
      </c>
    </row>
    <row r="21" spans="1:7" x14ac:dyDescent="0.25">
      <c r="A21" s="4">
        <f t="shared" si="3"/>
        <v>11</v>
      </c>
      <c r="B21" s="516" t="s">
        <v>1477</v>
      </c>
      <c r="C21" s="517"/>
      <c r="D21" s="163">
        <f t="shared" si="0"/>
        <v>50106.825199999992</v>
      </c>
      <c r="E21" s="6">
        <v>0</v>
      </c>
      <c r="F21" s="163">
        <v>50106.825199999992</v>
      </c>
      <c r="G21" s="4">
        <f t="shared" si="4"/>
        <v>11</v>
      </c>
    </row>
    <row r="22" spans="1:7" x14ac:dyDescent="0.25">
      <c r="A22" s="4">
        <f t="shared" si="3"/>
        <v>12</v>
      </c>
      <c r="B22" s="516" t="s">
        <v>1478</v>
      </c>
      <c r="C22" s="517"/>
      <c r="D22" s="163">
        <f t="shared" si="0"/>
        <v>21028.353165000004</v>
      </c>
      <c r="E22" s="6">
        <v>13354.681646153889</v>
      </c>
      <c r="F22" s="163">
        <v>7673.6715188461139</v>
      </c>
      <c r="G22" s="4">
        <f t="shared" si="4"/>
        <v>12</v>
      </c>
    </row>
    <row r="23" spans="1:7" x14ac:dyDescent="0.25">
      <c r="A23" s="4">
        <f t="shared" si="3"/>
        <v>13</v>
      </c>
      <c r="B23" s="516" t="s">
        <v>1479</v>
      </c>
      <c r="C23" s="517"/>
      <c r="D23" s="163">
        <f t="shared" si="0"/>
        <v>26927.937030000001</v>
      </c>
      <c r="E23" s="6">
        <v>27.531755283608589</v>
      </c>
      <c r="F23" s="163">
        <v>26900.405274716391</v>
      </c>
      <c r="G23" s="4">
        <f t="shared" si="4"/>
        <v>13</v>
      </c>
    </row>
    <row r="24" spans="1:7" x14ac:dyDescent="0.25">
      <c r="A24" s="4">
        <f t="shared" si="3"/>
        <v>14</v>
      </c>
      <c r="B24" s="515" t="s">
        <v>1480</v>
      </c>
      <c r="D24" s="163">
        <f t="shared" si="0"/>
        <v>3416.2521050000005</v>
      </c>
      <c r="E24" s="6">
        <v>2843.3809150000002</v>
      </c>
      <c r="F24" s="163">
        <v>572.87119000000007</v>
      </c>
      <c r="G24" s="4">
        <f t="shared" si="4"/>
        <v>14</v>
      </c>
    </row>
    <row r="25" spans="1:7" x14ac:dyDescent="0.25">
      <c r="A25" s="4">
        <f t="shared" si="3"/>
        <v>15</v>
      </c>
      <c r="B25" s="516" t="s">
        <v>1481</v>
      </c>
      <c r="C25" s="517"/>
      <c r="D25" s="163">
        <f t="shared" si="0"/>
        <v>29013.574580000004</v>
      </c>
      <c r="E25" s="6">
        <v>0</v>
      </c>
      <c r="F25" s="163">
        <v>29013.574580000004</v>
      </c>
      <c r="G25" s="4">
        <f t="shared" si="4"/>
        <v>15</v>
      </c>
    </row>
    <row r="26" spans="1:7" x14ac:dyDescent="0.25">
      <c r="A26" s="4">
        <f t="shared" si="3"/>
        <v>16</v>
      </c>
      <c r="B26" s="515" t="s">
        <v>1482</v>
      </c>
      <c r="D26" s="163">
        <f t="shared" si="0"/>
        <v>13877.403280000004</v>
      </c>
      <c r="E26" s="6">
        <v>0</v>
      </c>
      <c r="F26" s="163">
        <v>13877.403280000004</v>
      </c>
      <c r="G26" s="4">
        <f t="shared" si="4"/>
        <v>16</v>
      </c>
    </row>
    <row r="27" spans="1:7" x14ac:dyDescent="0.25">
      <c r="A27" s="4">
        <f t="shared" si="3"/>
        <v>17</v>
      </c>
      <c r="B27" s="515" t="s">
        <v>1483</v>
      </c>
      <c r="D27" s="163">
        <f t="shared" si="0"/>
        <v>96896.022960000002</v>
      </c>
      <c r="E27" s="6">
        <v>28018.376539999979</v>
      </c>
      <c r="F27" s="163">
        <v>68877.646420000019</v>
      </c>
      <c r="G27" s="4">
        <f t="shared" si="4"/>
        <v>17</v>
      </c>
    </row>
    <row r="28" spans="1:7" x14ac:dyDescent="0.25">
      <c r="A28" s="4">
        <f t="shared" si="3"/>
        <v>18</v>
      </c>
      <c r="B28" s="516" t="s">
        <v>1484</v>
      </c>
      <c r="C28" s="517"/>
      <c r="D28" s="163">
        <f t="shared" si="0"/>
        <v>221517.0878474999</v>
      </c>
      <c r="E28" s="6">
        <v>65278.010535908608</v>
      </c>
      <c r="F28" s="163">
        <v>156239.0773115913</v>
      </c>
      <c r="G28" s="4">
        <f t="shared" si="4"/>
        <v>18</v>
      </c>
    </row>
    <row r="29" spans="1:7" x14ac:dyDescent="0.25">
      <c r="A29" s="4">
        <f t="shared" si="3"/>
        <v>19</v>
      </c>
      <c r="B29" s="516" t="s">
        <v>1485</v>
      </c>
      <c r="C29" s="517"/>
      <c r="D29" s="163">
        <f t="shared" si="0"/>
        <v>142269.74985000005</v>
      </c>
      <c r="E29" s="6">
        <v>774.26852997969934</v>
      </c>
      <c r="F29" s="163">
        <v>141495.48132002036</v>
      </c>
      <c r="G29" s="4">
        <f t="shared" si="4"/>
        <v>19</v>
      </c>
    </row>
    <row r="30" spans="1:7" x14ac:dyDescent="0.25">
      <c r="A30" s="4">
        <f t="shared" si="3"/>
        <v>20</v>
      </c>
      <c r="B30" s="518" t="s">
        <v>1486</v>
      </c>
      <c r="C30" s="339"/>
      <c r="D30" s="163">
        <f t="shared" si="0"/>
        <v>79116.423699999985</v>
      </c>
      <c r="E30" s="6">
        <v>32825.251365399119</v>
      </c>
      <c r="F30" s="163">
        <v>46291.172334600858</v>
      </c>
      <c r="G30" s="4">
        <f t="shared" si="4"/>
        <v>20</v>
      </c>
    </row>
    <row r="31" spans="1:7" x14ac:dyDescent="0.25">
      <c r="A31" s="4">
        <f t="shared" si="3"/>
        <v>21</v>
      </c>
      <c r="B31" s="518" t="s">
        <v>1487</v>
      </c>
      <c r="C31" s="339"/>
      <c r="D31" s="163">
        <f t="shared" si="0"/>
        <v>251808.85574999993</v>
      </c>
      <c r="E31" s="6">
        <v>0</v>
      </c>
      <c r="F31" s="163">
        <v>251808.85574999993</v>
      </c>
      <c r="G31" s="4">
        <f t="shared" si="4"/>
        <v>21</v>
      </c>
    </row>
    <row r="32" spans="1:7" x14ac:dyDescent="0.25">
      <c r="A32" s="4">
        <f t="shared" si="3"/>
        <v>22</v>
      </c>
      <c r="B32" s="518" t="s">
        <v>1488</v>
      </c>
      <c r="C32" s="339"/>
      <c r="D32" s="163">
        <f t="shared" si="0"/>
        <v>111706.57089000002</v>
      </c>
      <c r="E32" s="6">
        <v>57486.130269391608</v>
      </c>
      <c r="F32" s="163">
        <v>54220.44062060841</v>
      </c>
      <c r="G32" s="4">
        <f t="shared" si="4"/>
        <v>22</v>
      </c>
    </row>
    <row r="33" spans="1:11" x14ac:dyDescent="0.25">
      <c r="A33" s="4">
        <f>A32+1</f>
        <v>23</v>
      </c>
      <c r="B33" s="518" t="s">
        <v>1489</v>
      </c>
      <c r="C33" s="339"/>
      <c r="D33" s="163">
        <f>E33+F33</f>
        <v>145463.04743000001</v>
      </c>
      <c r="E33" s="6">
        <v>83275.978419945735</v>
      </c>
      <c r="F33" s="163">
        <v>62187.069010054263</v>
      </c>
      <c r="G33" s="4">
        <f>G32+1</f>
        <v>23</v>
      </c>
    </row>
    <row r="34" spans="1:11" x14ac:dyDescent="0.25">
      <c r="A34" s="4">
        <f t="shared" ref="A34:A47" si="5">A33+1</f>
        <v>24</v>
      </c>
      <c r="B34" s="518" t="s">
        <v>1490</v>
      </c>
      <c r="C34" s="339"/>
      <c r="D34" s="163">
        <f>E34+F34</f>
        <v>816897.92369647289</v>
      </c>
      <c r="E34" s="6">
        <v>816897.92369647289</v>
      </c>
      <c r="F34" s="163">
        <v>0</v>
      </c>
      <c r="G34" s="4">
        <f t="shared" ref="G34:G47" si="6">G33+1</f>
        <v>24</v>
      </c>
    </row>
    <row r="35" spans="1:11" ht="16.5" thickBot="1" x14ac:dyDescent="0.3">
      <c r="A35" s="4">
        <f t="shared" si="5"/>
        <v>25</v>
      </c>
      <c r="B35" s="514"/>
      <c r="D35" s="164"/>
      <c r="E35" s="1068"/>
      <c r="F35" s="164"/>
      <c r="G35" s="4">
        <f t="shared" si="6"/>
        <v>25</v>
      </c>
    </row>
    <row r="36" spans="1:11" x14ac:dyDescent="0.25">
      <c r="A36" s="4">
        <f t="shared" si="5"/>
        <v>26</v>
      </c>
      <c r="B36" s="514" t="s">
        <v>1389</v>
      </c>
      <c r="D36" s="165">
        <f>SUM(D11:D34)</f>
        <v>3186017.2634247201</v>
      </c>
      <c r="E36" s="43">
        <f>SUM(E11:E34)</f>
        <v>1539241.3101753313</v>
      </c>
      <c r="F36" s="165">
        <f>SUM(F11:F34)</f>
        <v>1646775.9532493893</v>
      </c>
      <c r="G36" s="4">
        <f t="shared" si="6"/>
        <v>26</v>
      </c>
    </row>
    <row r="37" spans="1:11" x14ac:dyDescent="0.25">
      <c r="A37" s="4">
        <f t="shared" si="5"/>
        <v>27</v>
      </c>
      <c r="B37" s="514"/>
      <c r="D37" s="166"/>
      <c r="F37" s="166"/>
      <c r="G37" s="4">
        <f t="shared" si="6"/>
        <v>27</v>
      </c>
    </row>
    <row r="38" spans="1:11" s="31" customFormat="1" ht="18.75" x14ac:dyDescent="0.25">
      <c r="A38" s="4">
        <f t="shared" si="5"/>
        <v>28</v>
      </c>
      <c r="B38" s="515" t="s">
        <v>1390</v>
      </c>
      <c r="D38" s="163">
        <f>SUM(E38:F38)</f>
        <v>5363289.7728199996</v>
      </c>
      <c r="E38" s="6">
        <v>3090048.9140048991</v>
      </c>
      <c r="F38" s="163">
        <v>2273240.8588151</v>
      </c>
      <c r="G38" s="4">
        <f t="shared" si="6"/>
        <v>28</v>
      </c>
      <c r="I38" s="6"/>
    </row>
    <row r="39" spans="1:11" s="31" customFormat="1" x14ac:dyDescent="0.25">
      <c r="A39" s="4">
        <f t="shared" si="5"/>
        <v>29</v>
      </c>
      <c r="B39" s="515"/>
      <c r="D39" s="163"/>
      <c r="E39" s="6"/>
      <c r="F39" s="163"/>
      <c r="G39" s="4">
        <f t="shared" si="6"/>
        <v>29</v>
      </c>
    </row>
    <row r="40" spans="1:11" s="31" customFormat="1" x14ac:dyDescent="0.25">
      <c r="A40" s="4">
        <f t="shared" si="5"/>
        <v>30</v>
      </c>
      <c r="B40" s="515" t="s">
        <v>1391</v>
      </c>
      <c r="D40" s="163">
        <v>672252.19803500012</v>
      </c>
      <c r="E40" s="163">
        <f>D40*E44</f>
        <v>364012.02054781571</v>
      </c>
      <c r="F40" s="163">
        <f>D40*F44</f>
        <v>308240.17748718441</v>
      </c>
      <c r="G40" s="4">
        <f t="shared" si="6"/>
        <v>30</v>
      </c>
    </row>
    <row r="41" spans="1:11" ht="16.5" thickBot="1" x14ac:dyDescent="0.3">
      <c r="A41" s="4">
        <f t="shared" si="5"/>
        <v>31</v>
      </c>
      <c r="B41" s="514"/>
      <c r="D41" s="164"/>
      <c r="E41" s="164"/>
      <c r="F41" s="164"/>
      <c r="G41" s="4">
        <f t="shared" si="6"/>
        <v>31</v>
      </c>
    </row>
    <row r="42" spans="1:11" ht="18.75" x14ac:dyDescent="0.25">
      <c r="A42" s="4">
        <f t="shared" si="5"/>
        <v>32</v>
      </c>
      <c r="B42" s="514" t="s">
        <v>1392</v>
      </c>
      <c r="C42" s="265">
        <v>1</v>
      </c>
      <c r="D42" s="165">
        <f>SUM(D36:D40)</f>
        <v>9221559.2342797201</v>
      </c>
      <c r="E42" s="43">
        <f>SUM(E36:E40)</f>
        <v>4993302.2447280465</v>
      </c>
      <c r="F42" s="165">
        <f>SUM(F36:F40)</f>
        <v>4228256.9895516736</v>
      </c>
      <c r="G42" s="4">
        <f t="shared" si="6"/>
        <v>32</v>
      </c>
    </row>
    <row r="43" spans="1:11" x14ac:dyDescent="0.25">
      <c r="A43" s="4">
        <f t="shared" si="5"/>
        <v>33</v>
      </c>
      <c r="B43" s="514"/>
      <c r="D43" s="166"/>
      <c r="E43" s="166"/>
      <c r="F43" s="168"/>
      <c r="G43" s="4">
        <f t="shared" si="6"/>
        <v>33</v>
      </c>
    </row>
    <row r="44" spans="1:11" x14ac:dyDescent="0.25">
      <c r="A44" s="4">
        <f t="shared" si="5"/>
        <v>34</v>
      </c>
      <c r="B44" s="514" t="s">
        <v>1393</v>
      </c>
      <c r="D44" s="169">
        <f>+E44+F44</f>
        <v>1</v>
      </c>
      <c r="E44" s="169">
        <f>IFERROR((E36+E38)/(D36+D38),0)</f>
        <v>0.54148133931257714</v>
      </c>
      <c r="F44" s="170">
        <f>IFERROR((F36+F38)/(D36+D38),0)</f>
        <v>0.45851866068742281</v>
      </c>
      <c r="G44" s="4">
        <f t="shared" si="6"/>
        <v>34</v>
      </c>
    </row>
    <row r="45" spans="1:11" x14ac:dyDescent="0.25">
      <c r="A45" s="4">
        <f t="shared" si="5"/>
        <v>35</v>
      </c>
      <c r="B45" s="514"/>
      <c r="D45" s="169"/>
      <c r="E45" s="169"/>
      <c r="F45" s="170"/>
      <c r="G45" s="4">
        <f t="shared" si="6"/>
        <v>35</v>
      </c>
    </row>
    <row r="46" spans="1:11" x14ac:dyDescent="0.25">
      <c r="A46" s="4">
        <f t="shared" si="5"/>
        <v>36</v>
      </c>
      <c r="B46" s="514"/>
      <c r="D46" s="169"/>
      <c r="E46" s="1090" t="s">
        <v>1461</v>
      </c>
      <c r="F46" s="1091" t="s">
        <v>1462</v>
      </c>
      <c r="G46" s="4">
        <f t="shared" si="6"/>
        <v>36</v>
      </c>
      <c r="I46"/>
      <c r="J46"/>
      <c r="K46"/>
    </row>
    <row r="47" spans="1:11" ht="16.5" thickBot="1" x14ac:dyDescent="0.3">
      <c r="A47" s="4">
        <f t="shared" si="5"/>
        <v>37</v>
      </c>
      <c r="B47" s="519"/>
      <c r="C47" s="1069"/>
      <c r="D47" s="520"/>
      <c r="E47" s="520"/>
      <c r="F47" s="521"/>
      <c r="G47" s="4">
        <f t="shared" si="6"/>
        <v>37</v>
      </c>
    </row>
    <row r="49" spans="1:5" x14ac:dyDescent="0.25">
      <c r="E49" s="522"/>
    </row>
    <row r="50" spans="1:5" ht="18.75" x14ac:dyDescent="0.25">
      <c r="A50" s="252">
        <v>1</v>
      </c>
      <c r="B50" s="31" t="s">
        <v>1460</v>
      </c>
      <c r="C50" s="31"/>
    </row>
    <row r="51" spans="1:5" ht="18.75" x14ac:dyDescent="0.25">
      <c r="A51" s="252">
        <v>2</v>
      </c>
      <c r="B51" s="31" t="s">
        <v>1394</v>
      </c>
    </row>
    <row r="52" spans="1:5" x14ac:dyDescent="0.25">
      <c r="B52" s="31" t="s">
        <v>1395</v>
      </c>
    </row>
  </sheetData>
  <mergeCells count="4">
    <mergeCell ref="B2:F2"/>
    <mergeCell ref="B3:F3"/>
    <mergeCell ref="B4:F4"/>
    <mergeCell ref="B5:F5"/>
  </mergeCells>
  <printOptions horizontalCentered="1"/>
  <pageMargins left="0.5" right="0.5" top="0.5" bottom="0.5" header="0.25" footer="0.25"/>
  <pageSetup scale="67" orientation="landscape" r:id="rId1"/>
  <headerFooter scaleWithDoc="0">
    <oddFooter>&amp;C&amp;"Times New Roman,Regular"&amp;10Summary of HV/LV Plant Allocation Study</oddFooter>
  </headerFooter>
  <customProperties>
    <customPr name="_pios_id" r:id="rId2"/>
  </customPropertie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2:K40"/>
  <sheetViews>
    <sheetView zoomScale="80" zoomScaleNormal="80" workbookViewId="0">
      <selection activeCell="G34" sqref="G34"/>
    </sheetView>
  </sheetViews>
  <sheetFormatPr defaultColWidth="8.7109375" defaultRowHeight="15.75" x14ac:dyDescent="0.25"/>
  <cols>
    <col min="1" max="1" width="5.28515625" style="340" customWidth="1"/>
    <col min="2" max="2" width="82.5703125" style="5" customWidth="1"/>
    <col min="3" max="5" width="15.7109375" style="5" customWidth="1"/>
    <col min="6" max="6" width="3.28515625" style="5" customWidth="1"/>
    <col min="7" max="9" width="15.7109375" style="5" customWidth="1"/>
    <col min="10" max="10" width="34.7109375" style="5" customWidth="1"/>
    <col min="11" max="11" width="5.28515625" style="340" customWidth="1"/>
    <col min="12" max="16384" width="8.7109375" style="5"/>
  </cols>
  <sheetData>
    <row r="2" spans="1:11" ht="15.75" customHeight="1" x14ac:dyDescent="0.25">
      <c r="B2" s="1316" t="s">
        <v>0</v>
      </c>
      <c r="C2" s="1316"/>
      <c r="D2" s="1316"/>
      <c r="E2" s="1316"/>
      <c r="F2" s="1316"/>
      <c r="G2" s="1316"/>
      <c r="H2" s="1316"/>
      <c r="I2" s="1316"/>
      <c r="J2" s="1316"/>
      <c r="K2" s="217"/>
    </row>
    <row r="3" spans="1:11" ht="15.75" customHeight="1" x14ac:dyDescent="0.25">
      <c r="B3" s="1316" t="s">
        <v>1396</v>
      </c>
      <c r="C3" s="1316"/>
      <c r="D3" s="1316"/>
      <c r="E3" s="1316"/>
      <c r="F3" s="1316"/>
      <c r="G3" s="1316"/>
      <c r="H3" s="1316"/>
      <c r="I3" s="1316"/>
      <c r="J3" s="1316"/>
      <c r="K3" s="217"/>
    </row>
    <row r="4" spans="1:11" ht="15.75" customHeight="1" x14ac:dyDescent="0.25">
      <c r="B4" s="1314" t="s">
        <v>1946</v>
      </c>
      <c r="C4" s="1314"/>
      <c r="D4" s="1314"/>
      <c r="E4" s="1314"/>
      <c r="F4" s="1314"/>
      <c r="G4" s="1314"/>
      <c r="H4" s="1314"/>
      <c r="I4" s="1314"/>
      <c r="J4" s="1314"/>
      <c r="K4" s="217"/>
    </row>
    <row r="5" spans="1:11" x14ac:dyDescent="0.25">
      <c r="B5" s="1358">
        <v>-1000</v>
      </c>
      <c r="C5" s="1358"/>
      <c r="D5" s="1358"/>
      <c r="E5" s="1358"/>
      <c r="F5" s="1358"/>
      <c r="G5" s="1358"/>
      <c r="H5" s="1358"/>
      <c r="I5" s="1358"/>
      <c r="J5" s="1358"/>
      <c r="K5" s="576"/>
    </row>
    <row r="6" spans="1:11" x14ac:dyDescent="0.25">
      <c r="A6" s="4"/>
      <c r="B6" s="523"/>
      <c r="C6" s="31"/>
      <c r="D6" s="31"/>
      <c r="E6" s="31"/>
      <c r="F6" s="31"/>
      <c r="G6" s="31"/>
      <c r="H6" s="31"/>
      <c r="I6" s="31"/>
      <c r="J6" s="31"/>
      <c r="K6" s="4"/>
    </row>
    <row r="7" spans="1:11" x14ac:dyDescent="0.25">
      <c r="A7" s="217"/>
      <c r="B7" s="924"/>
      <c r="C7" s="925" t="s">
        <v>187</v>
      </c>
      <c r="D7" s="925" t="s">
        <v>188</v>
      </c>
      <c r="E7" s="925" t="s">
        <v>682</v>
      </c>
      <c r="F7" s="924"/>
      <c r="G7" s="925" t="s">
        <v>935</v>
      </c>
      <c r="H7" s="925" t="s">
        <v>936</v>
      </c>
      <c r="I7" s="925" t="s">
        <v>1397</v>
      </c>
      <c r="J7" s="924"/>
      <c r="K7" s="217"/>
    </row>
    <row r="8" spans="1:11" x14ac:dyDescent="0.25">
      <c r="A8" s="4" t="s">
        <v>5</v>
      </c>
      <c r="B8" s="1070"/>
      <c r="C8" s="1043" t="s">
        <v>1398</v>
      </c>
      <c r="D8" s="1043" t="s">
        <v>1398</v>
      </c>
      <c r="E8" s="943" t="s">
        <v>1399</v>
      </c>
      <c r="F8" s="924"/>
      <c r="G8" s="1043" t="s">
        <v>659</v>
      </c>
      <c r="H8" s="1043" t="s">
        <v>659</v>
      </c>
      <c r="I8" s="1043" t="s">
        <v>1030</v>
      </c>
      <c r="J8" s="294"/>
      <c r="K8" s="4" t="s">
        <v>5</v>
      </c>
    </row>
    <row r="9" spans="1:11" x14ac:dyDescent="0.25">
      <c r="A9" s="4" t="s">
        <v>6</v>
      </c>
      <c r="B9" s="524"/>
      <c r="C9" s="300" t="s">
        <v>1400</v>
      </c>
      <c r="D9" s="274" t="s">
        <v>1401</v>
      </c>
      <c r="E9" s="274" t="s">
        <v>180</v>
      </c>
      <c r="F9" s="116"/>
      <c r="G9" s="300" t="s">
        <v>1402</v>
      </c>
      <c r="H9" s="300" t="s">
        <v>1403</v>
      </c>
      <c r="I9" s="300" t="s">
        <v>180</v>
      </c>
      <c r="J9" s="300" t="s">
        <v>8</v>
      </c>
      <c r="K9" s="4" t="s">
        <v>6</v>
      </c>
    </row>
    <row r="10" spans="1:11" x14ac:dyDescent="0.25">
      <c r="A10" s="4"/>
      <c r="B10" s="525" t="s">
        <v>1404</v>
      </c>
      <c r="C10" s="933"/>
      <c r="D10" s="932"/>
      <c r="E10" s="932"/>
      <c r="F10" s="233"/>
      <c r="G10" s="933"/>
      <c r="H10" s="933"/>
      <c r="I10" s="65"/>
      <c r="J10" s="65"/>
      <c r="K10" s="4"/>
    </row>
    <row r="11" spans="1:11" x14ac:dyDescent="0.25">
      <c r="A11" s="4">
        <v>1</v>
      </c>
      <c r="B11" s="526" t="s">
        <v>1405</v>
      </c>
      <c r="C11" s="673">
        <f>'ET Forecast Capital Additions'!C35</f>
        <v>89719</v>
      </c>
      <c r="D11" s="673">
        <f>'ET Forecast Capital Additions'!D35</f>
        <v>960369</v>
      </c>
      <c r="E11" s="231">
        <f>C11+D11</f>
        <v>1050088</v>
      </c>
      <c r="F11" s="4"/>
      <c r="G11" s="673">
        <f>'ET Forecast Capital Additions'!M35</f>
        <v>54187.474275681889</v>
      </c>
      <c r="H11" s="673">
        <f>'ET Forecast Capital Additions'!N35</f>
        <v>757078.99299947941</v>
      </c>
      <c r="I11" s="58">
        <f>G11+H11</f>
        <v>811266.4672751613</v>
      </c>
      <c r="J11" s="64" t="s">
        <v>1406</v>
      </c>
      <c r="K11" s="4">
        <f>A11</f>
        <v>1</v>
      </c>
    </row>
    <row r="12" spans="1:11" x14ac:dyDescent="0.25">
      <c r="A12" s="4">
        <f t="shared" ref="A12:A29" si="0">A11+1</f>
        <v>2</v>
      </c>
      <c r="B12" s="526"/>
      <c r="C12" s="231"/>
      <c r="D12" s="231"/>
      <c r="E12" s="231"/>
      <c r="F12" s="231"/>
      <c r="G12" s="231"/>
      <c r="H12" s="231"/>
      <c r="I12" s="58"/>
      <c r="J12" s="64"/>
      <c r="K12" s="4">
        <f t="shared" ref="K12:K29" si="1">K11+1</f>
        <v>2</v>
      </c>
    </row>
    <row r="13" spans="1:11" x14ac:dyDescent="0.25">
      <c r="A13" s="4">
        <f t="shared" si="0"/>
        <v>3</v>
      </c>
      <c r="B13" s="331" t="s">
        <v>1407</v>
      </c>
      <c r="C13" s="574">
        <f>'General &amp; Common Plant Addition'!C35</f>
        <v>4528</v>
      </c>
      <c r="D13" s="574">
        <f>'General &amp; Common Plant Addition'!D35</f>
        <v>6078</v>
      </c>
      <c r="E13" s="93">
        <f>C13+D13</f>
        <v>10606</v>
      </c>
      <c r="F13" s="4"/>
      <c r="G13" s="574">
        <f>'General &amp; Common Plant Addition'!M35</f>
        <v>3511.1853006755455</v>
      </c>
      <c r="H13" s="574">
        <f>'General &amp; Common Plant Addition'!N35</f>
        <v>4713.7155264849453</v>
      </c>
      <c r="I13" s="53">
        <f>G13+H13</f>
        <v>8224.9008271604907</v>
      </c>
      <c r="J13" s="64" t="s">
        <v>1349</v>
      </c>
      <c r="K13" s="4">
        <f t="shared" si="1"/>
        <v>3</v>
      </c>
    </row>
    <row r="14" spans="1:11" x14ac:dyDescent="0.25">
      <c r="A14" s="4">
        <f t="shared" si="0"/>
        <v>4</v>
      </c>
      <c r="B14" s="526"/>
      <c r="C14" s="232"/>
      <c r="D14" s="232"/>
      <c r="E14" s="232"/>
      <c r="F14" s="231"/>
      <c r="G14" s="231"/>
      <c r="H14" s="231"/>
      <c r="I14" s="58"/>
      <c r="J14" s="64"/>
      <c r="K14" s="4">
        <f t="shared" si="1"/>
        <v>4</v>
      </c>
    </row>
    <row r="15" spans="1:11" x14ac:dyDescent="0.25">
      <c r="A15" s="4">
        <f t="shared" si="0"/>
        <v>5</v>
      </c>
      <c r="B15" s="526" t="s">
        <v>1408</v>
      </c>
      <c r="C15" s="231">
        <f>SUM(C11:C13)</f>
        <v>94247</v>
      </c>
      <c r="D15" s="231">
        <f>SUM(D11:D13)</f>
        <v>966447</v>
      </c>
      <c r="E15" s="231">
        <f>SUM(E11:E13)</f>
        <v>1060694</v>
      </c>
      <c r="F15" s="4"/>
      <c r="G15" s="231">
        <f>SUM(G11:G13)</f>
        <v>57698.659576357437</v>
      </c>
      <c r="H15" s="231">
        <f>SUM(H11:H13)</f>
        <v>761792.70852596441</v>
      </c>
      <c r="I15" s="231">
        <f>SUM(I11:I13)</f>
        <v>819491.36810232175</v>
      </c>
      <c r="J15" s="64" t="s">
        <v>817</v>
      </c>
      <c r="K15" s="4">
        <f t="shared" si="1"/>
        <v>5</v>
      </c>
    </row>
    <row r="16" spans="1:11" x14ac:dyDescent="0.25">
      <c r="A16" s="4">
        <f t="shared" si="0"/>
        <v>6</v>
      </c>
      <c r="B16" s="526"/>
      <c r="C16" s="232"/>
      <c r="D16" s="232"/>
      <c r="E16" s="232"/>
      <c r="F16" s="231"/>
      <c r="G16" s="231"/>
      <c r="H16" s="231"/>
      <c r="I16" s="58"/>
      <c r="J16" s="64"/>
      <c r="K16" s="4">
        <f t="shared" si="1"/>
        <v>6</v>
      </c>
    </row>
    <row r="17" spans="1:11" x14ac:dyDescent="0.25">
      <c r="A17" s="4">
        <f t="shared" si="0"/>
        <v>7</v>
      </c>
      <c r="B17" s="525" t="s">
        <v>1409</v>
      </c>
      <c r="C17" s="232"/>
      <c r="D17" s="232"/>
      <c r="E17" s="232"/>
      <c r="F17" s="231"/>
      <c r="G17" s="231"/>
      <c r="H17" s="231"/>
      <c r="I17" s="58"/>
      <c r="J17" s="64"/>
      <c r="K17" s="4">
        <f t="shared" si="1"/>
        <v>7</v>
      </c>
    </row>
    <row r="18" spans="1:11" x14ac:dyDescent="0.25">
      <c r="A18" s="4">
        <f t="shared" si="0"/>
        <v>8</v>
      </c>
      <c r="B18" s="526" t="s">
        <v>1410</v>
      </c>
      <c r="C18" s="673">
        <f>'Incentive Transmission Plant'!C35</f>
        <v>0</v>
      </c>
      <c r="D18" s="673">
        <f>'Incentive Transmission Plant'!D35</f>
        <v>0</v>
      </c>
      <c r="E18" s="231">
        <f>C18+D18</f>
        <v>0</v>
      </c>
      <c r="F18" s="231"/>
      <c r="G18" s="673">
        <f>'Incentive Transmission Plant'!M35</f>
        <v>0</v>
      </c>
      <c r="H18" s="673">
        <f>'Incentive Transmission Plant'!N35</f>
        <v>0</v>
      </c>
      <c r="I18" s="58">
        <f>G18+H18</f>
        <v>0</v>
      </c>
      <c r="J18" s="64" t="s">
        <v>1350</v>
      </c>
      <c r="K18" s="4">
        <f t="shared" si="1"/>
        <v>8</v>
      </c>
    </row>
    <row r="19" spans="1:11" x14ac:dyDescent="0.25">
      <c r="A19" s="4">
        <f t="shared" si="0"/>
        <v>9</v>
      </c>
      <c r="B19" s="526"/>
      <c r="C19" s="232"/>
      <c r="D19" s="232"/>
      <c r="E19" s="232"/>
      <c r="F19" s="231"/>
      <c r="G19" s="231"/>
      <c r="H19" s="231"/>
      <c r="I19" s="58"/>
      <c r="J19" s="64"/>
      <c r="K19" s="4">
        <f t="shared" si="1"/>
        <v>9</v>
      </c>
    </row>
    <row r="20" spans="1:11" ht="31.5" x14ac:dyDescent="0.25">
      <c r="A20" s="4">
        <f t="shared" si="0"/>
        <v>10</v>
      </c>
      <c r="B20" s="526" t="s">
        <v>1411</v>
      </c>
      <c r="C20" s="674">
        <f>'Incentive CWIP-A'!C36</f>
        <v>0</v>
      </c>
      <c r="D20" s="674">
        <f>'Incentive CWIP-A'!D36</f>
        <v>0</v>
      </c>
      <c r="E20" s="232">
        <f>C20+D20</f>
        <v>0</v>
      </c>
      <c r="F20" s="231"/>
      <c r="G20" s="674">
        <f>'Incentive CWIP-A'!M36</f>
        <v>0</v>
      </c>
      <c r="H20" s="674">
        <f>'Incentive CWIP-A'!N36</f>
        <v>0</v>
      </c>
      <c r="I20" s="52">
        <f>G20+H20</f>
        <v>0</v>
      </c>
      <c r="J20" s="64" t="s">
        <v>1351</v>
      </c>
      <c r="K20" s="4">
        <f t="shared" si="1"/>
        <v>10</v>
      </c>
    </row>
    <row r="21" spans="1:11" x14ac:dyDescent="0.25">
      <c r="A21" s="4">
        <f t="shared" si="0"/>
        <v>11</v>
      </c>
      <c r="B21" s="526"/>
      <c r="C21" s="232"/>
      <c r="D21" s="232"/>
      <c r="E21" s="232"/>
      <c r="F21" s="231"/>
      <c r="G21" s="231"/>
      <c r="H21" s="231"/>
      <c r="I21" s="58"/>
      <c r="J21" s="64"/>
      <c r="K21" s="4">
        <f t="shared" si="1"/>
        <v>11</v>
      </c>
    </row>
    <row r="22" spans="1:11" ht="31.5" x14ac:dyDescent="0.25">
      <c r="A22" s="4">
        <f t="shared" si="0"/>
        <v>12</v>
      </c>
      <c r="B22" s="526" t="s">
        <v>1412</v>
      </c>
      <c r="C22" s="574">
        <f>'Incentive CWIP-B'!C36</f>
        <v>0</v>
      </c>
      <c r="D22" s="574">
        <f>'Incentive CWIP-B'!D36</f>
        <v>0</v>
      </c>
      <c r="E22" s="93">
        <f>C22+D22</f>
        <v>0</v>
      </c>
      <c r="F22" s="231"/>
      <c r="G22" s="574">
        <f>'Incentive CWIP-B'!M36</f>
        <v>0</v>
      </c>
      <c r="H22" s="574">
        <f>'Incentive CWIP-B'!N36</f>
        <v>0</v>
      </c>
      <c r="I22" s="53">
        <f>G22+H22</f>
        <v>0</v>
      </c>
      <c r="J22" s="64" t="s">
        <v>1413</v>
      </c>
      <c r="K22" s="4">
        <f t="shared" si="1"/>
        <v>12</v>
      </c>
    </row>
    <row r="23" spans="1:11" x14ac:dyDescent="0.25">
      <c r="A23" s="4">
        <f t="shared" si="0"/>
        <v>13</v>
      </c>
      <c r="B23" s="526"/>
      <c r="C23" s="232"/>
      <c r="D23" s="232"/>
      <c r="E23" s="232"/>
      <c r="F23" s="231"/>
      <c r="G23" s="231"/>
      <c r="H23" s="231"/>
      <c r="I23" s="58"/>
      <c r="J23" s="64"/>
      <c r="K23" s="4">
        <f t="shared" si="1"/>
        <v>13</v>
      </c>
    </row>
    <row r="24" spans="1:11" x14ac:dyDescent="0.25">
      <c r="A24" s="4">
        <f t="shared" si="0"/>
        <v>14</v>
      </c>
      <c r="B24" s="526" t="s">
        <v>1414</v>
      </c>
      <c r="C24" s="171">
        <f>SUM(C18:C22)</f>
        <v>0</v>
      </c>
      <c r="D24" s="171">
        <f>SUM(D18:D22)</f>
        <v>0</v>
      </c>
      <c r="E24" s="171">
        <f>SUM(E18:E22)</f>
        <v>0</v>
      </c>
      <c r="F24" s="231"/>
      <c r="G24" s="171">
        <f>SUM(G18:G22)</f>
        <v>0</v>
      </c>
      <c r="H24" s="171">
        <f>SUM(H18:H22)</f>
        <v>0</v>
      </c>
      <c r="I24" s="171">
        <f>SUM(I18:I22)</f>
        <v>0</v>
      </c>
      <c r="J24" s="64" t="s">
        <v>1415</v>
      </c>
      <c r="K24" s="4">
        <f t="shared" si="1"/>
        <v>14</v>
      </c>
    </row>
    <row r="25" spans="1:11" x14ac:dyDescent="0.25">
      <c r="A25" s="4">
        <f t="shared" si="0"/>
        <v>15</v>
      </c>
      <c r="B25" s="526"/>
      <c r="C25" s="232"/>
      <c r="D25" s="232"/>
      <c r="E25" s="232"/>
      <c r="F25" s="231"/>
      <c r="G25" s="231"/>
      <c r="H25" s="231"/>
      <c r="I25" s="58"/>
      <c r="J25" s="65"/>
      <c r="K25" s="4">
        <f t="shared" si="1"/>
        <v>15</v>
      </c>
    </row>
    <row r="26" spans="1:11" ht="16.5" thickBot="1" x14ac:dyDescent="0.3">
      <c r="A26" s="4">
        <f t="shared" si="0"/>
        <v>16</v>
      </c>
      <c r="B26" s="527" t="s">
        <v>180</v>
      </c>
      <c r="C26" s="172">
        <f>C15+C24</f>
        <v>94247</v>
      </c>
      <c r="D26" s="172">
        <f>D15+D24</f>
        <v>966447</v>
      </c>
      <c r="E26" s="172">
        <f>E15+E24</f>
        <v>1060694</v>
      </c>
      <c r="F26" s="4"/>
      <c r="G26" s="172">
        <f>G15+G24</f>
        <v>57698.659576357437</v>
      </c>
      <c r="H26" s="172">
        <f>H15+H24</f>
        <v>761792.70852596441</v>
      </c>
      <c r="I26" s="172">
        <f>I15+I24</f>
        <v>819491.36810232175</v>
      </c>
      <c r="J26" s="64" t="s">
        <v>1416</v>
      </c>
      <c r="K26" s="4">
        <f t="shared" si="1"/>
        <v>16</v>
      </c>
    </row>
    <row r="27" spans="1:11" ht="16.5" thickTop="1" x14ac:dyDescent="0.25">
      <c r="A27" s="4">
        <f t="shared" si="0"/>
        <v>17</v>
      </c>
      <c r="B27" s="527"/>
      <c r="C27" s="232"/>
      <c r="D27" s="232"/>
      <c r="E27" s="232"/>
      <c r="F27" s="231"/>
      <c r="G27" s="231"/>
      <c r="H27" s="231"/>
      <c r="I27" s="58"/>
      <c r="J27" s="64"/>
      <c r="K27" s="4">
        <f t="shared" si="1"/>
        <v>17</v>
      </c>
    </row>
    <row r="28" spans="1:11" ht="31.5" x14ac:dyDescent="0.25">
      <c r="A28" s="4">
        <f t="shared" si="0"/>
        <v>18</v>
      </c>
      <c r="B28" s="526"/>
      <c r="C28" s="232"/>
      <c r="D28" s="232"/>
      <c r="E28" s="232"/>
      <c r="F28" s="231"/>
      <c r="G28" s="231"/>
      <c r="H28" s="231"/>
      <c r="I28" s="58"/>
      <c r="J28" s="1071" t="s">
        <v>1417</v>
      </c>
      <c r="K28" s="4">
        <f t="shared" si="1"/>
        <v>18</v>
      </c>
    </row>
    <row r="29" spans="1:11" ht="16.5" thickBot="1" x14ac:dyDescent="0.3">
      <c r="A29" s="4">
        <f t="shared" si="0"/>
        <v>19</v>
      </c>
      <c r="B29" s="527" t="s">
        <v>1418</v>
      </c>
      <c r="C29" s="232"/>
      <c r="D29" s="232"/>
      <c r="E29" s="232"/>
      <c r="F29" s="4"/>
      <c r="G29" s="173">
        <f>IFERROR(G26/I26,0)</f>
        <v>7.040789179996973E-2</v>
      </c>
      <c r="H29" s="173">
        <f>IFERROR(H26/I26,0)</f>
        <v>0.92959210820003035</v>
      </c>
      <c r="I29" s="173">
        <f>G29+H29</f>
        <v>1</v>
      </c>
      <c r="J29" s="1071" t="s">
        <v>1419</v>
      </c>
      <c r="K29" s="4">
        <f t="shared" si="1"/>
        <v>19</v>
      </c>
    </row>
    <row r="30" spans="1:11" ht="16.5" thickTop="1" x14ac:dyDescent="0.25">
      <c r="A30" s="4">
        <v>20</v>
      </c>
      <c r="B30" s="528"/>
      <c r="C30" s="284"/>
      <c r="D30" s="284"/>
      <c r="E30" s="284"/>
      <c r="F30" s="284"/>
      <c r="G30" s="274"/>
      <c r="H30" s="274"/>
      <c r="I30" s="114"/>
      <c r="J30" s="114"/>
      <c r="K30" s="4">
        <v>20</v>
      </c>
    </row>
    <row r="31" spans="1:11" x14ac:dyDescent="0.25">
      <c r="A31" s="4"/>
      <c r="B31" s="31"/>
      <c r="C31" s="31"/>
      <c r="D31" s="31"/>
      <c r="E31" s="31"/>
      <c r="F31" s="31"/>
      <c r="G31" s="31"/>
      <c r="H31" s="31"/>
      <c r="I31" s="31"/>
      <c r="J31" s="31"/>
      <c r="K31" s="4"/>
    </row>
    <row r="32" spans="1:11" x14ac:dyDescent="0.25">
      <c r="A32" s="4"/>
      <c r="B32" s="31"/>
      <c r="C32" s="31"/>
      <c r="D32" s="31"/>
      <c r="E32" s="31"/>
      <c r="F32" s="31"/>
      <c r="G32" s="31"/>
      <c r="H32" s="31"/>
      <c r="I32" s="31"/>
      <c r="J32" s="31"/>
      <c r="K32" s="4"/>
    </row>
    <row r="33" spans="1:11" ht="18.75" x14ac:dyDescent="0.25">
      <c r="A33" s="265">
        <v>1</v>
      </c>
      <c r="B33" s="31" t="s">
        <v>1420</v>
      </c>
      <c r="C33" s="31"/>
      <c r="D33" s="31"/>
      <c r="E33" s="31"/>
      <c r="F33" s="31"/>
      <c r="G33" s="31"/>
      <c r="H33" s="31"/>
      <c r="I33" s="31"/>
      <c r="J33" s="31"/>
      <c r="K33" s="4"/>
    </row>
    <row r="34" spans="1:11" ht="18.75" x14ac:dyDescent="0.25">
      <c r="A34" s="265">
        <v>2</v>
      </c>
      <c r="B34" s="31" t="s">
        <v>1421</v>
      </c>
      <c r="C34" s="31"/>
      <c r="D34" s="31"/>
      <c r="E34" s="31"/>
      <c r="F34" s="31"/>
      <c r="G34" s="31"/>
      <c r="H34" s="31"/>
      <c r="I34" s="31"/>
      <c r="J34" s="31"/>
      <c r="K34" s="4"/>
    </row>
    <row r="35" spans="1:11" ht="18.75" x14ac:dyDescent="0.25">
      <c r="A35" s="265">
        <v>3</v>
      </c>
      <c r="B35" s="31" t="s">
        <v>1422</v>
      </c>
      <c r="C35" s="31"/>
      <c r="D35" s="31"/>
      <c r="E35" s="31"/>
      <c r="F35" s="31"/>
      <c r="G35" s="31"/>
      <c r="H35" s="31"/>
      <c r="I35" s="31"/>
      <c r="J35" s="31"/>
      <c r="K35" s="4"/>
    </row>
    <row r="36" spans="1:11" ht="18.75" x14ac:dyDescent="0.25">
      <c r="A36" s="265">
        <v>4</v>
      </c>
      <c r="B36" s="31" t="s">
        <v>1423</v>
      </c>
      <c r="C36" s="31"/>
      <c r="D36" s="31"/>
      <c r="E36" s="31"/>
      <c r="F36" s="31"/>
      <c r="G36" s="31"/>
      <c r="H36" s="31"/>
      <c r="I36" s="31"/>
      <c r="J36" s="31"/>
      <c r="K36" s="4"/>
    </row>
    <row r="37" spans="1:11" ht="18.75" x14ac:dyDescent="0.25">
      <c r="A37" s="265">
        <v>5</v>
      </c>
      <c r="B37" s="31" t="s">
        <v>1424</v>
      </c>
      <c r="C37" s="31"/>
      <c r="D37" s="31"/>
      <c r="E37" s="31"/>
      <c r="F37" s="31"/>
      <c r="G37" s="31"/>
      <c r="H37" s="31"/>
      <c r="I37" s="31"/>
      <c r="J37" s="31"/>
      <c r="K37" s="4"/>
    </row>
    <row r="38" spans="1:11" x14ac:dyDescent="0.25">
      <c r="A38" s="217"/>
      <c r="B38" s="1"/>
      <c r="C38" s="31"/>
      <c r="D38" s="31"/>
      <c r="E38" s="31"/>
      <c r="F38" s="31"/>
      <c r="G38" s="31"/>
      <c r="H38" s="31"/>
      <c r="I38" s="31"/>
      <c r="J38" s="31"/>
      <c r="K38" s="4"/>
    </row>
    <row r="39" spans="1:11" x14ac:dyDescent="0.25">
      <c r="A39" s="4"/>
      <c r="B39" s="31"/>
      <c r="C39" s="31"/>
      <c r="D39" s="31"/>
      <c r="E39" s="31"/>
      <c r="F39" s="31"/>
      <c r="G39" s="31"/>
      <c r="H39" s="31"/>
      <c r="I39" s="31"/>
      <c r="J39" s="31"/>
      <c r="K39" s="4"/>
    </row>
    <row r="40" spans="1:11" x14ac:dyDescent="0.25">
      <c r="A40" s="4"/>
      <c r="B40" s="31"/>
      <c r="C40" s="31"/>
      <c r="D40" s="31"/>
      <c r="E40" s="31"/>
      <c r="F40" s="31"/>
      <c r="G40" s="31"/>
      <c r="H40" s="31"/>
      <c r="I40" s="31"/>
      <c r="J40" s="31"/>
      <c r="K40" s="4"/>
    </row>
  </sheetData>
  <mergeCells count="4">
    <mergeCell ref="B2:J2"/>
    <mergeCell ref="B3:J3"/>
    <mergeCell ref="B4:J4"/>
    <mergeCell ref="B5:J5"/>
  </mergeCells>
  <printOptions horizontalCentered="1"/>
  <pageMargins left="0.5" right="0.5" top="0.5" bottom="0.5" header="0.25" footer="0.25"/>
  <pageSetup scale="57" orientation="landscape" r:id="rId1"/>
  <headerFooter scaleWithDoc="0">
    <oddFooter>&amp;C&amp;"Times New Roman,Regular"&amp;10Summary of HV/LV Splits for Forecast Plant Additions</oddFooter>
  </headerFooter>
  <customProperties>
    <customPr name="_pios_id" r:id="rId2"/>
  </customPropertie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AC55"/>
  <sheetViews>
    <sheetView zoomScale="80" zoomScaleNormal="80" workbookViewId="0">
      <selection activeCell="H37" sqref="H37"/>
    </sheetView>
  </sheetViews>
  <sheetFormatPr defaultColWidth="8.7109375" defaultRowHeight="15.75" x14ac:dyDescent="0.25"/>
  <cols>
    <col min="1" max="1" width="5.28515625" style="4" customWidth="1"/>
    <col min="2" max="2" width="8.5703125" style="5" customWidth="1"/>
    <col min="3" max="5" width="15.7109375" style="5" customWidth="1"/>
    <col min="6" max="11" width="15.5703125" style="5" customWidth="1"/>
    <col min="12" max="12" width="11.28515625" style="5" customWidth="1"/>
    <col min="13" max="15" width="15.5703125" style="5" customWidth="1"/>
    <col min="16" max="16" width="5.28515625" style="4" customWidth="1"/>
    <col min="17" max="16384" width="8.7109375" style="5"/>
  </cols>
  <sheetData>
    <row r="1" spans="1:29" x14ac:dyDescent="0.25">
      <c r="B1" s="31"/>
      <c r="C1" s="254"/>
      <c r="D1" s="31"/>
      <c r="E1" s="31"/>
      <c r="F1" s="31"/>
      <c r="G1" s="31"/>
      <c r="H1" s="31"/>
      <c r="I1" s="31"/>
      <c r="J1" s="31"/>
      <c r="K1" s="31"/>
      <c r="L1" s="31"/>
      <c r="M1" s="31"/>
      <c r="N1" s="31"/>
      <c r="O1" s="31"/>
      <c r="Q1" s="31"/>
      <c r="R1" s="31"/>
      <c r="S1" s="31"/>
      <c r="T1" s="31"/>
      <c r="U1" s="31"/>
      <c r="V1" s="31"/>
      <c r="W1" s="31"/>
      <c r="X1" s="31"/>
      <c r="Y1" s="31"/>
      <c r="Z1" s="31"/>
      <c r="AA1" s="31"/>
      <c r="AB1" s="31"/>
      <c r="AC1" s="31"/>
    </row>
    <row r="2" spans="1:29" x14ac:dyDescent="0.25">
      <c r="B2" s="1316" t="s">
        <v>0</v>
      </c>
      <c r="C2" s="1316"/>
      <c r="D2" s="1316"/>
      <c r="E2" s="1316"/>
      <c r="F2" s="1316"/>
      <c r="G2" s="1316"/>
      <c r="H2" s="1316"/>
      <c r="I2" s="1316"/>
      <c r="J2" s="1316"/>
      <c r="K2" s="1316"/>
      <c r="L2" s="1316"/>
      <c r="M2" s="1316"/>
      <c r="N2" s="1316"/>
      <c r="O2" s="1316"/>
      <c r="Q2" s="31"/>
      <c r="R2" s="31"/>
      <c r="S2" s="31"/>
      <c r="T2" s="31"/>
      <c r="U2" s="31"/>
      <c r="V2" s="31"/>
      <c r="W2" s="31"/>
      <c r="X2" s="31"/>
      <c r="Y2" s="31"/>
      <c r="Z2" s="31"/>
      <c r="AA2" s="31"/>
      <c r="AB2" s="31"/>
      <c r="AC2" s="31"/>
    </row>
    <row r="3" spans="1:29" x14ac:dyDescent="0.25">
      <c r="B3" s="1316" t="s">
        <v>1425</v>
      </c>
      <c r="C3" s="1316"/>
      <c r="D3" s="1316"/>
      <c r="E3" s="1316"/>
      <c r="F3" s="1316"/>
      <c r="G3" s="1316"/>
      <c r="H3" s="1316"/>
      <c r="I3" s="1316"/>
      <c r="J3" s="1316"/>
      <c r="K3" s="1316"/>
      <c r="L3" s="1316"/>
      <c r="M3" s="1316"/>
      <c r="N3" s="1316"/>
      <c r="O3" s="1316"/>
      <c r="Q3" s="31"/>
      <c r="R3" s="31"/>
      <c r="S3" s="31"/>
      <c r="T3" s="31"/>
      <c r="U3" s="31"/>
      <c r="V3" s="31"/>
      <c r="W3" s="31"/>
      <c r="X3" s="31"/>
      <c r="Y3" s="31"/>
      <c r="Z3" s="31"/>
      <c r="AA3" s="31"/>
      <c r="AB3" s="31"/>
      <c r="AC3" s="31"/>
    </row>
    <row r="4" spans="1:29" x14ac:dyDescent="0.25">
      <c r="B4" s="1318" t="str">
        <f>'Summary of HV-LV Splits'!B4</f>
        <v>24-Month Forecast Period (January 1, 2025 - December 31, 2026)</v>
      </c>
      <c r="C4" s="1318"/>
      <c r="D4" s="1318"/>
      <c r="E4" s="1318"/>
      <c r="F4" s="1318"/>
      <c r="G4" s="1318"/>
      <c r="H4" s="1318"/>
      <c r="I4" s="1318"/>
      <c r="J4" s="1318"/>
      <c r="K4" s="1318"/>
      <c r="L4" s="1318"/>
      <c r="M4" s="1318"/>
      <c r="N4" s="1318"/>
      <c r="O4" s="1318"/>
      <c r="Q4" s="31"/>
      <c r="R4" s="31"/>
      <c r="S4" s="31"/>
      <c r="T4" s="31"/>
      <c r="U4" s="31"/>
      <c r="V4" s="31"/>
      <c r="W4" s="31"/>
      <c r="X4" s="31"/>
      <c r="Y4" s="31"/>
      <c r="Z4" s="31"/>
      <c r="AA4" s="31"/>
      <c r="AB4" s="31"/>
      <c r="AC4" s="31"/>
    </row>
    <row r="5" spans="1:29" x14ac:dyDescent="0.25">
      <c r="B5" s="1316" t="s">
        <v>1426</v>
      </c>
      <c r="C5" s="1316"/>
      <c r="D5" s="1316"/>
      <c r="E5" s="1316"/>
      <c r="F5" s="1316"/>
      <c r="G5" s="1316"/>
      <c r="H5" s="1316"/>
      <c r="I5" s="1316"/>
      <c r="J5" s="1316"/>
      <c r="K5" s="1316"/>
      <c r="L5" s="1316"/>
      <c r="M5" s="1316"/>
      <c r="N5" s="1316"/>
      <c r="O5" s="1316"/>
      <c r="Q5" s="31"/>
      <c r="R5" s="31"/>
      <c r="S5" s="31"/>
      <c r="T5" s="31"/>
      <c r="U5" s="31"/>
      <c r="V5" s="31"/>
      <c r="W5" s="31"/>
      <c r="X5" s="31"/>
      <c r="Y5" s="31"/>
      <c r="Z5" s="31"/>
      <c r="AA5" s="31"/>
      <c r="AB5" s="31"/>
      <c r="AC5" s="31"/>
    </row>
    <row r="6" spans="1:29" x14ac:dyDescent="0.25">
      <c r="B6" s="1342">
        <v>-1000</v>
      </c>
      <c r="C6" s="1342"/>
      <c r="D6" s="1342"/>
      <c r="E6" s="1342"/>
      <c r="F6" s="1342"/>
      <c r="G6" s="1342"/>
      <c r="H6" s="1342"/>
      <c r="I6" s="1342"/>
      <c r="J6" s="1342"/>
      <c r="K6" s="1342"/>
      <c r="L6" s="1342"/>
      <c r="M6" s="1342"/>
      <c r="N6" s="1342"/>
      <c r="O6" s="1342"/>
      <c r="Q6" s="31"/>
      <c r="R6" s="31"/>
      <c r="S6" s="31"/>
      <c r="T6" s="31"/>
      <c r="U6" s="31"/>
      <c r="V6" s="31"/>
      <c r="W6" s="31"/>
      <c r="X6" s="31"/>
      <c r="Y6" s="31"/>
      <c r="Z6" s="31"/>
      <c r="AA6" s="31"/>
      <c r="AB6" s="31"/>
      <c r="AC6" s="31"/>
    </row>
    <row r="7" spans="1:29" ht="16.5" thickBot="1" x14ac:dyDescent="0.3">
      <c r="B7" s="31"/>
      <c r="C7" s="31"/>
      <c r="D7" s="31"/>
      <c r="E7" s="31"/>
      <c r="F7" s="31"/>
      <c r="G7" s="31"/>
      <c r="H7" s="31"/>
      <c r="I7" s="31"/>
      <c r="J7" s="31"/>
      <c r="K7" s="31"/>
      <c r="L7" s="31"/>
      <c r="M7" s="31"/>
      <c r="N7" s="31"/>
      <c r="O7" s="31"/>
      <c r="Q7" s="31"/>
      <c r="R7" s="31"/>
      <c r="S7" s="31"/>
      <c r="T7" s="31"/>
      <c r="U7" s="31"/>
      <c r="V7" s="31"/>
      <c r="W7" s="31"/>
      <c r="X7" s="31"/>
      <c r="Y7" s="31"/>
      <c r="Z7" s="31"/>
      <c r="AA7" s="31"/>
      <c r="AB7" s="31"/>
      <c r="AC7" s="31"/>
    </row>
    <row r="8" spans="1:29" ht="18.75" x14ac:dyDescent="0.25">
      <c r="A8" s="4" t="s">
        <v>5</v>
      </c>
      <c r="B8" s="230"/>
      <c r="C8" s="1359" t="s">
        <v>1427</v>
      </c>
      <c r="D8" s="1360"/>
      <c r="E8" s="1361"/>
      <c r="F8" s="225" t="s">
        <v>1428</v>
      </c>
      <c r="G8" s="226"/>
      <c r="H8" s="227"/>
      <c r="I8" s="228" t="s">
        <v>1429</v>
      </c>
      <c r="J8" s="226"/>
      <c r="K8" s="229"/>
      <c r="L8" s="230" t="s">
        <v>1430</v>
      </c>
      <c r="M8" s="228" t="s">
        <v>1431</v>
      </c>
      <c r="N8" s="226"/>
      <c r="O8" s="227"/>
      <c r="P8" s="4" t="s">
        <v>5</v>
      </c>
      <c r="Q8" s="1"/>
      <c r="R8" s="1"/>
      <c r="S8" s="1"/>
      <c r="T8" s="1"/>
      <c r="U8" s="1"/>
      <c r="V8" s="1"/>
      <c r="W8" s="1"/>
      <c r="X8" s="1"/>
      <c r="Y8" s="1"/>
      <c r="Z8" s="1"/>
      <c r="AA8" s="1"/>
      <c r="AB8" s="1"/>
      <c r="AC8" s="1"/>
    </row>
    <row r="9" spans="1:29" ht="16.5" thickBot="1" x14ac:dyDescent="0.3">
      <c r="A9" s="4" t="s">
        <v>6</v>
      </c>
      <c r="B9" s="529" t="s">
        <v>1432</v>
      </c>
      <c r="C9" s="530" t="s">
        <v>1400</v>
      </c>
      <c r="D9" s="531" t="s">
        <v>1401</v>
      </c>
      <c r="E9" s="532" t="s">
        <v>180</v>
      </c>
      <c r="F9" s="530" t="s">
        <v>1400</v>
      </c>
      <c r="G9" s="531" t="s">
        <v>1401</v>
      </c>
      <c r="H9" s="533" t="s">
        <v>180</v>
      </c>
      <c r="I9" s="534" t="s">
        <v>1400</v>
      </c>
      <c r="J9" s="531" t="s">
        <v>1401</v>
      </c>
      <c r="K9" s="532" t="s">
        <v>180</v>
      </c>
      <c r="L9" s="529" t="s">
        <v>1433</v>
      </c>
      <c r="M9" s="534" t="s">
        <v>1400</v>
      </c>
      <c r="N9" s="531" t="s">
        <v>1401</v>
      </c>
      <c r="O9" s="533" t="s">
        <v>180</v>
      </c>
      <c r="P9" s="4" t="s">
        <v>6</v>
      </c>
      <c r="Q9" s="1"/>
      <c r="R9" s="1"/>
      <c r="S9" s="1"/>
      <c r="T9" s="1"/>
      <c r="U9" s="1"/>
      <c r="V9" s="1"/>
      <c r="W9" s="1"/>
      <c r="X9" s="1"/>
      <c r="Y9" s="1"/>
      <c r="Z9" s="1"/>
      <c r="AA9" s="1"/>
      <c r="AB9" s="1"/>
      <c r="AC9" s="1"/>
    </row>
    <row r="10" spans="1:29" x14ac:dyDescent="0.25">
      <c r="A10" s="217"/>
      <c r="B10" s="535"/>
      <c r="C10" s="536"/>
      <c r="D10" s="457"/>
      <c r="E10" s="217"/>
      <c r="F10" s="537"/>
      <c r="G10" s="457"/>
      <c r="H10" s="538"/>
      <c r="I10" s="217"/>
      <c r="J10" s="457"/>
      <c r="K10" s="217"/>
      <c r="L10" s="535"/>
      <c r="M10" s="217"/>
      <c r="N10" s="457"/>
      <c r="O10" s="538"/>
      <c r="P10" s="217"/>
      <c r="Q10" s="1"/>
      <c r="R10" s="1"/>
      <c r="S10" s="1"/>
      <c r="T10" s="1"/>
      <c r="U10" s="1"/>
      <c r="V10" s="1"/>
      <c r="W10" s="1"/>
      <c r="X10" s="1"/>
      <c r="Y10" s="1"/>
      <c r="Z10" s="1"/>
      <c r="AA10" s="1"/>
      <c r="AB10" s="1"/>
      <c r="AC10" s="1"/>
    </row>
    <row r="11" spans="1:29" x14ac:dyDescent="0.25">
      <c r="A11" s="4">
        <v>1</v>
      </c>
      <c r="B11" s="539">
        <v>45679</v>
      </c>
      <c r="C11" s="174">
        <v>630</v>
      </c>
      <c r="D11" s="673">
        <v>15979</v>
      </c>
      <c r="E11" s="592">
        <f>C11+D11</f>
        <v>16609</v>
      </c>
      <c r="F11" s="58">
        <f>C11*$H$41</f>
        <v>1.1607866694986071</v>
      </c>
      <c r="G11" s="231">
        <f t="shared" ref="G11:G34" si="0">D11*$H$41</f>
        <v>29.441603479235308</v>
      </c>
      <c r="H11" s="119">
        <f>F11+G11</f>
        <v>30.602390148733914</v>
      </c>
      <c r="I11" s="175">
        <f t="shared" ref="I11:I34" si="1">C11-F11</f>
        <v>628.83921333050137</v>
      </c>
      <c r="J11" s="231">
        <f t="shared" ref="J11:J34" si="2">D11-G11</f>
        <v>15949.558396520764</v>
      </c>
      <c r="K11" s="119">
        <f t="shared" ref="K11:K34" si="3">I11+J11</f>
        <v>16578.397609851265</v>
      </c>
      <c r="L11" s="240">
        <v>1</v>
      </c>
      <c r="M11" s="58">
        <f t="shared" ref="M11:M34" si="4">I11*$L11</f>
        <v>628.83921333050137</v>
      </c>
      <c r="N11" s="231">
        <f t="shared" ref="N11:N34" si="5">J11*$L11</f>
        <v>15949.558396520764</v>
      </c>
      <c r="O11" s="592">
        <f t="shared" ref="O11:O34" si="6">M11+N11</f>
        <v>16578.397609851265</v>
      </c>
      <c r="P11" s="4">
        <f>A11</f>
        <v>1</v>
      </c>
      <c r="Q11" s="1"/>
      <c r="R11" s="31"/>
      <c r="S11" s="31"/>
      <c r="T11" s="31"/>
      <c r="U11" s="31"/>
      <c r="V11" s="31"/>
      <c r="W11" s="31"/>
      <c r="X11" s="31"/>
      <c r="Y11" s="31"/>
      <c r="Z11" s="31"/>
      <c r="AA11" s="31"/>
      <c r="AB11" s="31"/>
      <c r="AC11" s="31"/>
    </row>
    <row r="12" spans="1:29" x14ac:dyDescent="0.25">
      <c r="A12" s="4">
        <f t="shared" ref="A12:A49" si="7">A11+1</f>
        <v>2</v>
      </c>
      <c r="B12" s="539">
        <v>45710</v>
      </c>
      <c r="C12" s="176">
        <v>1641</v>
      </c>
      <c r="D12" s="674">
        <v>17030</v>
      </c>
      <c r="E12" s="124">
        <f>C12+D12</f>
        <v>18671</v>
      </c>
      <c r="F12" s="177">
        <f t="shared" ref="F12:F34" si="8">C12*$H$41</f>
        <v>3.0235728962654194</v>
      </c>
      <c r="G12" s="232">
        <f t="shared" si="0"/>
        <v>31.378090446922666</v>
      </c>
      <c r="H12" s="573">
        <f>F12+G12</f>
        <v>34.401663343188083</v>
      </c>
      <c r="I12" s="52">
        <f t="shared" si="1"/>
        <v>1637.9764271037345</v>
      </c>
      <c r="J12" s="232">
        <f t="shared" si="2"/>
        <v>16998.621909553076</v>
      </c>
      <c r="K12" s="124">
        <f t="shared" si="3"/>
        <v>18636.598336656811</v>
      </c>
      <c r="L12" s="240">
        <v>1</v>
      </c>
      <c r="M12" s="52">
        <f t="shared" si="4"/>
        <v>1637.9764271037345</v>
      </c>
      <c r="N12" s="232">
        <f t="shared" si="5"/>
        <v>16998.621909553076</v>
      </c>
      <c r="O12" s="573">
        <f t="shared" si="6"/>
        <v>18636.598336656811</v>
      </c>
      <c r="P12" s="4">
        <f t="shared" ref="P12:P49" si="9">P11+1</f>
        <v>2</v>
      </c>
      <c r="Q12" s="31"/>
      <c r="R12" s="31"/>
      <c r="S12" s="31"/>
      <c r="T12" s="31"/>
      <c r="U12" s="31"/>
      <c r="V12" s="31"/>
      <c r="W12" s="31"/>
      <c r="X12" s="31"/>
      <c r="Y12" s="31"/>
      <c r="Z12" s="31"/>
      <c r="AA12" s="31"/>
      <c r="AB12" s="31"/>
      <c r="AC12" s="31"/>
    </row>
    <row r="13" spans="1:29" x14ac:dyDescent="0.25">
      <c r="A13" s="4">
        <f t="shared" si="7"/>
        <v>3</v>
      </c>
      <c r="B13" s="539">
        <v>45738</v>
      </c>
      <c r="C13" s="176">
        <v>3140</v>
      </c>
      <c r="D13" s="674">
        <v>53728</v>
      </c>
      <c r="E13" s="124">
        <f t="shared" ref="E13:E33" si="10">C13+D13</f>
        <v>56868</v>
      </c>
      <c r="F13" s="177">
        <f t="shared" si="8"/>
        <v>5.7855081622628992</v>
      </c>
      <c r="G13" s="232">
        <f>D13*$H$41</f>
        <v>98.994835204478036</v>
      </c>
      <c r="H13" s="573">
        <f t="shared" ref="H13:H34" si="11">F13+G13</f>
        <v>104.78034336674094</v>
      </c>
      <c r="I13" s="52">
        <f t="shared" si="1"/>
        <v>3134.2144918377371</v>
      </c>
      <c r="J13" s="232">
        <f t="shared" si="2"/>
        <v>53629.005164795519</v>
      </c>
      <c r="K13" s="124">
        <f t="shared" si="3"/>
        <v>56763.219656633257</v>
      </c>
      <c r="L13" s="240">
        <v>1</v>
      </c>
      <c r="M13" s="52">
        <f t="shared" si="4"/>
        <v>3134.2144918377371</v>
      </c>
      <c r="N13" s="232">
        <f t="shared" si="5"/>
        <v>53629.005164795519</v>
      </c>
      <c r="O13" s="573">
        <f t="shared" si="6"/>
        <v>56763.219656633257</v>
      </c>
      <c r="P13" s="4">
        <f t="shared" si="9"/>
        <v>3</v>
      </c>
      <c r="Q13" s="31"/>
      <c r="R13" s="31"/>
      <c r="S13" s="31"/>
      <c r="T13" s="31"/>
      <c r="U13" s="31"/>
      <c r="V13" s="31"/>
      <c r="W13" s="31"/>
      <c r="X13" s="31"/>
      <c r="Y13" s="31"/>
      <c r="Z13" s="31"/>
      <c r="AA13" s="31"/>
      <c r="AB13" s="31"/>
      <c r="AC13" s="31"/>
    </row>
    <row r="14" spans="1:29" ht="16.5" thickBot="1" x14ac:dyDescent="0.3">
      <c r="A14" s="4">
        <f t="shared" si="7"/>
        <v>4</v>
      </c>
      <c r="B14" s="540">
        <v>45769</v>
      </c>
      <c r="C14" s="178">
        <v>1697</v>
      </c>
      <c r="D14" s="674">
        <v>73584</v>
      </c>
      <c r="E14" s="179">
        <f t="shared" si="10"/>
        <v>75281</v>
      </c>
      <c r="F14" s="180">
        <f t="shared" si="8"/>
        <v>3.1267539335541845</v>
      </c>
      <c r="G14" s="181">
        <f t="shared" si="0"/>
        <v>135.57988299743732</v>
      </c>
      <c r="H14" s="182">
        <f t="shared" si="11"/>
        <v>138.70663693099152</v>
      </c>
      <c r="I14" s="183">
        <f t="shared" si="1"/>
        <v>1693.8732460664457</v>
      </c>
      <c r="J14" s="181">
        <f t="shared" si="2"/>
        <v>73448.420117002563</v>
      </c>
      <c r="K14" s="179">
        <f t="shared" si="3"/>
        <v>75142.29336306901</v>
      </c>
      <c r="L14" s="244">
        <v>1</v>
      </c>
      <c r="M14" s="181">
        <f t="shared" si="4"/>
        <v>1693.8732460664457</v>
      </c>
      <c r="N14" s="181">
        <f t="shared" si="5"/>
        <v>73448.420117002563</v>
      </c>
      <c r="O14" s="182">
        <f t="shared" si="6"/>
        <v>75142.29336306901</v>
      </c>
      <c r="P14" s="4">
        <f t="shared" si="9"/>
        <v>4</v>
      </c>
      <c r="Q14" s="31"/>
      <c r="R14" s="31"/>
      <c r="S14" s="31"/>
      <c r="T14" s="31"/>
      <c r="U14" s="31"/>
      <c r="V14" s="31"/>
      <c r="W14" s="31"/>
      <c r="X14" s="31"/>
      <c r="Y14" s="31"/>
      <c r="Z14" s="31"/>
      <c r="AA14" s="31"/>
      <c r="AB14" s="31"/>
      <c r="AC14" s="31"/>
    </row>
    <row r="15" spans="1:29" x14ac:dyDescent="0.25">
      <c r="A15" s="4">
        <f t="shared" si="7"/>
        <v>5</v>
      </c>
      <c r="B15" s="539">
        <v>45799</v>
      </c>
      <c r="C15" s="176">
        <v>1542</v>
      </c>
      <c r="D15" s="184">
        <v>11959</v>
      </c>
      <c r="E15" s="122">
        <f t="shared" si="10"/>
        <v>13501</v>
      </c>
      <c r="F15" s="185">
        <f t="shared" si="8"/>
        <v>2.841163562487067</v>
      </c>
      <c r="G15" s="128">
        <f t="shared" si="0"/>
        <v>22.034679016720386</v>
      </c>
      <c r="H15" s="123">
        <f t="shared" si="11"/>
        <v>24.875842579207454</v>
      </c>
      <c r="I15" s="186">
        <f t="shared" si="1"/>
        <v>1539.1588364375129</v>
      </c>
      <c r="J15" s="128">
        <f t="shared" si="2"/>
        <v>11936.96532098328</v>
      </c>
      <c r="K15" s="122">
        <f t="shared" si="3"/>
        <v>13476.124157420792</v>
      </c>
      <c r="L15" s="245">
        <v>1</v>
      </c>
      <c r="M15" s="52">
        <f t="shared" si="4"/>
        <v>1539.1588364375129</v>
      </c>
      <c r="N15" s="128">
        <f t="shared" si="5"/>
        <v>11936.96532098328</v>
      </c>
      <c r="O15" s="123">
        <f t="shared" si="6"/>
        <v>13476.124157420792</v>
      </c>
      <c r="P15" s="4">
        <f t="shared" si="9"/>
        <v>5</v>
      </c>
      <c r="Q15" s="31"/>
      <c r="R15" s="31"/>
      <c r="S15" s="31"/>
      <c r="T15" s="31"/>
      <c r="U15" s="31"/>
      <c r="V15" s="31"/>
      <c r="W15" s="31"/>
      <c r="X15" s="31"/>
      <c r="Y15" s="31"/>
      <c r="Z15" s="31"/>
      <c r="AA15" s="31"/>
      <c r="AB15" s="31"/>
      <c r="AC15" s="31"/>
    </row>
    <row r="16" spans="1:29" x14ac:dyDescent="0.25">
      <c r="A16" s="4">
        <f t="shared" si="7"/>
        <v>6</v>
      </c>
      <c r="B16" s="539">
        <v>45830</v>
      </c>
      <c r="C16" s="176">
        <v>1997</v>
      </c>
      <c r="D16" s="674">
        <v>88538</v>
      </c>
      <c r="E16" s="124">
        <f t="shared" si="10"/>
        <v>90535</v>
      </c>
      <c r="F16" s="177">
        <f t="shared" si="8"/>
        <v>3.6795094904582832</v>
      </c>
      <c r="G16" s="232">
        <f t="shared" si="0"/>
        <v>163.13290499058363</v>
      </c>
      <c r="H16" s="573">
        <f t="shared" si="11"/>
        <v>166.81241448104191</v>
      </c>
      <c r="I16" s="52">
        <f t="shared" si="1"/>
        <v>1993.3204905095417</v>
      </c>
      <c r="J16" s="232">
        <f t="shared" si="2"/>
        <v>88374.867095009409</v>
      </c>
      <c r="K16" s="124">
        <f t="shared" si="3"/>
        <v>90368.187585518957</v>
      </c>
      <c r="L16" s="240">
        <v>1</v>
      </c>
      <c r="M16" s="52">
        <f t="shared" si="4"/>
        <v>1993.3204905095417</v>
      </c>
      <c r="N16" s="232">
        <f t="shared" si="5"/>
        <v>88374.867095009409</v>
      </c>
      <c r="O16" s="573">
        <f t="shared" si="6"/>
        <v>90368.187585518957</v>
      </c>
      <c r="P16" s="4">
        <f t="shared" si="9"/>
        <v>6</v>
      </c>
      <c r="Q16" s="31"/>
      <c r="R16" s="31"/>
      <c r="S16" s="31"/>
      <c r="T16" s="31"/>
      <c r="U16" s="31"/>
      <c r="V16" s="31"/>
      <c r="W16" s="31"/>
      <c r="X16" s="31"/>
      <c r="Y16" s="31"/>
      <c r="Z16" s="31"/>
      <c r="AA16" s="31"/>
      <c r="AB16" s="31"/>
      <c r="AC16" s="31"/>
    </row>
    <row r="17" spans="1:29" x14ac:dyDescent="0.25">
      <c r="A17" s="4">
        <f t="shared" si="7"/>
        <v>7</v>
      </c>
      <c r="B17" s="539">
        <v>45860</v>
      </c>
      <c r="C17" s="176">
        <v>2869</v>
      </c>
      <c r="D17" s="674">
        <v>23722</v>
      </c>
      <c r="E17" s="124">
        <f t="shared" si="10"/>
        <v>26591</v>
      </c>
      <c r="F17" s="177">
        <f t="shared" si="8"/>
        <v>5.2861856425261964</v>
      </c>
      <c r="G17" s="232">
        <f t="shared" si="0"/>
        <v>43.708224402930092</v>
      </c>
      <c r="H17" s="573">
        <f t="shared" si="11"/>
        <v>48.994410045456291</v>
      </c>
      <c r="I17" s="52">
        <f t="shared" si="1"/>
        <v>2863.7138143574739</v>
      </c>
      <c r="J17" s="232">
        <f t="shared" si="2"/>
        <v>23678.29177559707</v>
      </c>
      <c r="K17" s="124">
        <f t="shared" si="3"/>
        <v>26542.005589954544</v>
      </c>
      <c r="L17" s="240">
        <v>1</v>
      </c>
      <c r="M17" s="52">
        <f t="shared" si="4"/>
        <v>2863.7138143574739</v>
      </c>
      <c r="N17" s="232">
        <f t="shared" si="5"/>
        <v>23678.29177559707</v>
      </c>
      <c r="O17" s="573">
        <f t="shared" si="6"/>
        <v>26542.005589954544</v>
      </c>
      <c r="P17" s="4">
        <f t="shared" si="9"/>
        <v>7</v>
      </c>
      <c r="Q17" s="31"/>
      <c r="R17" s="31"/>
      <c r="S17" s="31"/>
      <c r="T17" s="31"/>
      <c r="U17" s="31"/>
      <c r="V17" s="31"/>
      <c r="W17" s="31"/>
      <c r="X17" s="31"/>
      <c r="Y17" s="31"/>
      <c r="Z17" s="31"/>
      <c r="AA17" s="31"/>
      <c r="AB17" s="31"/>
      <c r="AC17" s="31"/>
    </row>
    <row r="18" spans="1:29" ht="16.5" thickBot="1" x14ac:dyDescent="0.3">
      <c r="A18" s="4">
        <f t="shared" si="7"/>
        <v>8</v>
      </c>
      <c r="B18" s="540">
        <v>45891</v>
      </c>
      <c r="C18" s="178">
        <v>3298</v>
      </c>
      <c r="D18" s="674">
        <v>31904</v>
      </c>
      <c r="E18" s="179">
        <f t="shared" si="10"/>
        <v>35202</v>
      </c>
      <c r="F18" s="180">
        <f t="shared" si="8"/>
        <v>6.076626088899058</v>
      </c>
      <c r="G18" s="181">
        <f t="shared" si="0"/>
        <v>58.783710958227879</v>
      </c>
      <c r="H18" s="182">
        <f t="shared" si="11"/>
        <v>64.860337047126933</v>
      </c>
      <c r="I18" s="183">
        <f t="shared" si="1"/>
        <v>3291.923373911101</v>
      </c>
      <c r="J18" s="181">
        <f t="shared" si="2"/>
        <v>31845.216289041771</v>
      </c>
      <c r="K18" s="179">
        <f t="shared" si="3"/>
        <v>35137.139662952875</v>
      </c>
      <c r="L18" s="244">
        <v>1</v>
      </c>
      <c r="M18" s="181">
        <f t="shared" si="4"/>
        <v>3291.923373911101</v>
      </c>
      <c r="N18" s="181">
        <f t="shared" si="5"/>
        <v>31845.216289041771</v>
      </c>
      <c r="O18" s="182">
        <f t="shared" si="6"/>
        <v>35137.139662952875</v>
      </c>
      <c r="P18" s="4">
        <f t="shared" si="9"/>
        <v>8</v>
      </c>
      <c r="Q18" s="31"/>
      <c r="R18" s="31"/>
      <c r="S18" s="31"/>
      <c r="T18" s="31"/>
      <c r="U18" s="31"/>
      <c r="V18" s="31"/>
      <c r="W18" s="31"/>
      <c r="X18" s="31"/>
      <c r="Y18" s="31"/>
      <c r="Z18" s="31"/>
      <c r="AA18" s="31"/>
      <c r="AB18" s="31"/>
      <c r="AC18" s="31"/>
    </row>
    <row r="19" spans="1:29" x14ac:dyDescent="0.25">
      <c r="A19" s="4">
        <f t="shared" si="7"/>
        <v>9</v>
      </c>
      <c r="B19" s="539">
        <v>45922</v>
      </c>
      <c r="C19" s="176">
        <v>3097</v>
      </c>
      <c r="D19" s="184">
        <v>22896</v>
      </c>
      <c r="E19" s="122">
        <f t="shared" si="10"/>
        <v>25993</v>
      </c>
      <c r="F19" s="185">
        <f t="shared" si="8"/>
        <v>5.706279865773312</v>
      </c>
      <c r="G19" s="128">
        <f t="shared" si="0"/>
        <v>42.186304102920808</v>
      </c>
      <c r="H19" s="123">
        <f t="shared" si="11"/>
        <v>47.892583968694119</v>
      </c>
      <c r="I19" s="186">
        <f t="shared" si="1"/>
        <v>3091.2937201342265</v>
      </c>
      <c r="J19" s="128">
        <f t="shared" si="2"/>
        <v>22853.813695897079</v>
      </c>
      <c r="K19" s="122">
        <f t="shared" si="3"/>
        <v>25945.107416031307</v>
      </c>
      <c r="L19" s="245">
        <v>1</v>
      </c>
      <c r="M19" s="52">
        <f t="shared" si="4"/>
        <v>3091.2937201342265</v>
      </c>
      <c r="N19" s="128">
        <f t="shared" si="5"/>
        <v>22853.813695897079</v>
      </c>
      <c r="O19" s="123">
        <f t="shared" si="6"/>
        <v>25945.107416031307</v>
      </c>
      <c r="P19" s="4">
        <f t="shared" si="9"/>
        <v>9</v>
      </c>
      <c r="Q19" s="31"/>
      <c r="R19" s="31"/>
      <c r="S19" s="31"/>
      <c r="T19" s="31"/>
      <c r="U19" s="31"/>
      <c r="V19" s="31"/>
      <c r="W19" s="31"/>
      <c r="X19" s="31"/>
      <c r="Y19" s="31"/>
      <c r="Z19" s="31"/>
      <c r="AA19" s="31"/>
      <c r="AB19" s="31"/>
      <c r="AC19" s="31"/>
    </row>
    <row r="20" spans="1:29" x14ac:dyDescent="0.25">
      <c r="A20" s="4">
        <f t="shared" si="7"/>
        <v>10</v>
      </c>
      <c r="B20" s="539">
        <v>45952</v>
      </c>
      <c r="C20" s="176">
        <v>2446</v>
      </c>
      <c r="D20" s="674">
        <v>43586</v>
      </c>
      <c r="E20" s="124">
        <f t="shared" si="10"/>
        <v>46032</v>
      </c>
      <c r="F20" s="177">
        <f t="shared" si="8"/>
        <v>4.5068003072914173</v>
      </c>
      <c r="G20" s="232">
        <f t="shared" si="0"/>
        <v>80.308012344073475</v>
      </c>
      <c r="H20" s="573">
        <f t="shared" si="11"/>
        <v>84.814812651364889</v>
      </c>
      <c r="I20" s="52">
        <f t="shared" si="1"/>
        <v>2441.4931996927085</v>
      </c>
      <c r="J20" s="232">
        <f t="shared" si="2"/>
        <v>43505.691987655926</v>
      </c>
      <c r="K20" s="124">
        <f t="shared" si="3"/>
        <v>45947.185187348638</v>
      </c>
      <c r="L20" s="240">
        <v>1</v>
      </c>
      <c r="M20" s="52">
        <f t="shared" si="4"/>
        <v>2441.4931996927085</v>
      </c>
      <c r="N20" s="232">
        <f t="shared" si="5"/>
        <v>43505.691987655926</v>
      </c>
      <c r="O20" s="573">
        <f t="shared" si="6"/>
        <v>45947.185187348638</v>
      </c>
      <c r="P20" s="4">
        <f t="shared" si="9"/>
        <v>10</v>
      </c>
      <c r="Q20" s="31"/>
      <c r="R20" s="31"/>
      <c r="S20" s="31"/>
      <c r="T20" s="31"/>
      <c r="U20" s="31"/>
      <c r="V20" s="31"/>
      <c r="W20" s="31"/>
      <c r="X20" s="31"/>
      <c r="Y20" s="31"/>
      <c r="Z20" s="31"/>
      <c r="AA20" s="31"/>
      <c r="AB20" s="31"/>
      <c r="AC20" s="31"/>
    </row>
    <row r="21" spans="1:29" x14ac:dyDescent="0.25">
      <c r="A21" s="4">
        <f t="shared" si="7"/>
        <v>11</v>
      </c>
      <c r="B21" s="539">
        <v>45983</v>
      </c>
      <c r="C21" s="176">
        <v>2584</v>
      </c>
      <c r="D21" s="674">
        <v>22784</v>
      </c>
      <c r="E21" s="6">
        <f t="shared" si="10"/>
        <v>25368</v>
      </c>
      <c r="F21" s="177">
        <f t="shared" si="8"/>
        <v>4.7610678634673027</v>
      </c>
      <c r="G21" s="232">
        <f t="shared" si="0"/>
        <v>41.979942028343281</v>
      </c>
      <c r="H21" s="127">
        <f t="shared" si="11"/>
        <v>46.741009891810585</v>
      </c>
      <c r="I21" s="52">
        <f t="shared" si="1"/>
        <v>2579.2389321365326</v>
      </c>
      <c r="J21" s="232">
        <f t="shared" si="2"/>
        <v>22742.020057971658</v>
      </c>
      <c r="K21" s="6">
        <f t="shared" si="3"/>
        <v>25321.258990108192</v>
      </c>
      <c r="L21" s="240">
        <v>1</v>
      </c>
      <c r="M21" s="52">
        <f t="shared" si="4"/>
        <v>2579.2389321365326</v>
      </c>
      <c r="N21" s="232">
        <f t="shared" si="5"/>
        <v>22742.020057971658</v>
      </c>
      <c r="O21" s="127">
        <f t="shared" si="6"/>
        <v>25321.258990108192</v>
      </c>
      <c r="P21" s="4">
        <f t="shared" si="9"/>
        <v>11</v>
      </c>
      <c r="Q21" s="31"/>
      <c r="R21" s="31"/>
      <c r="S21" s="31"/>
      <c r="T21" s="31"/>
      <c r="U21" s="31"/>
      <c r="V21" s="31"/>
      <c r="W21" s="31"/>
      <c r="X21" s="31"/>
      <c r="Y21" s="31"/>
      <c r="Z21" s="31"/>
      <c r="AA21" s="31"/>
      <c r="AB21" s="31"/>
      <c r="AC21" s="31"/>
    </row>
    <row r="22" spans="1:29" ht="16.5" thickBot="1" x14ac:dyDescent="0.3">
      <c r="A22" s="4">
        <f t="shared" si="7"/>
        <v>12</v>
      </c>
      <c r="B22" s="539">
        <v>46013</v>
      </c>
      <c r="C22" s="178">
        <v>4242</v>
      </c>
      <c r="D22" s="674">
        <v>113011</v>
      </c>
      <c r="E22" s="179">
        <f t="shared" si="10"/>
        <v>117253</v>
      </c>
      <c r="F22" s="180">
        <f t="shared" si="8"/>
        <v>7.8159635746239546</v>
      </c>
      <c r="G22" s="181">
        <f t="shared" si="0"/>
        <v>208.22486080429698</v>
      </c>
      <c r="H22" s="182">
        <f t="shared" si="11"/>
        <v>216.04082437892095</v>
      </c>
      <c r="I22" s="183">
        <f t="shared" si="1"/>
        <v>4234.1840364253758</v>
      </c>
      <c r="J22" s="181">
        <f t="shared" si="2"/>
        <v>112802.7751391957</v>
      </c>
      <c r="K22" s="179">
        <f t="shared" si="3"/>
        <v>117036.95917562107</v>
      </c>
      <c r="L22" s="244">
        <v>1</v>
      </c>
      <c r="M22" s="181">
        <f t="shared" si="4"/>
        <v>4234.1840364253758</v>
      </c>
      <c r="N22" s="181">
        <f t="shared" si="5"/>
        <v>112802.7751391957</v>
      </c>
      <c r="O22" s="182">
        <f t="shared" si="6"/>
        <v>117036.95917562107</v>
      </c>
      <c r="P22" s="4">
        <f t="shared" si="9"/>
        <v>12</v>
      </c>
      <c r="Q22" s="31"/>
      <c r="R22" s="31"/>
      <c r="S22" s="31"/>
      <c r="T22" s="31"/>
      <c r="U22" s="31"/>
      <c r="V22" s="31"/>
      <c r="W22" s="31"/>
      <c r="X22" s="31"/>
      <c r="Y22" s="31"/>
      <c r="Z22" s="31"/>
      <c r="AA22" s="31"/>
      <c r="AB22" s="31"/>
      <c r="AC22" s="31"/>
    </row>
    <row r="23" spans="1:29" x14ac:dyDescent="0.25">
      <c r="A23" s="4">
        <f t="shared" si="7"/>
        <v>13</v>
      </c>
      <c r="B23" s="675">
        <v>46044</v>
      </c>
      <c r="C23" s="176">
        <v>1910</v>
      </c>
      <c r="D23" s="184">
        <v>19204</v>
      </c>
      <c r="E23" s="122">
        <f t="shared" si="10"/>
        <v>21114</v>
      </c>
      <c r="F23" s="185">
        <f t="shared" si="8"/>
        <v>3.5192103789560947</v>
      </c>
      <c r="G23" s="128">
        <f t="shared" si="0"/>
        <v>35.38372571595437</v>
      </c>
      <c r="H23" s="123">
        <f t="shared" si="11"/>
        <v>38.902936094910466</v>
      </c>
      <c r="I23" s="186">
        <f t="shared" si="1"/>
        <v>1906.4807896210439</v>
      </c>
      <c r="J23" s="128">
        <f t="shared" si="2"/>
        <v>19168.616274284046</v>
      </c>
      <c r="K23" s="122">
        <f t="shared" si="3"/>
        <v>21075.09706390509</v>
      </c>
      <c r="L23" s="245">
        <v>1</v>
      </c>
      <c r="M23" s="52">
        <f t="shared" si="4"/>
        <v>1906.4807896210439</v>
      </c>
      <c r="N23" s="128">
        <f t="shared" si="5"/>
        <v>19168.616274284046</v>
      </c>
      <c r="O23" s="123">
        <f t="shared" si="6"/>
        <v>21075.09706390509</v>
      </c>
      <c r="P23" s="4">
        <f t="shared" si="9"/>
        <v>13</v>
      </c>
      <c r="Q23" s="31"/>
      <c r="R23" s="31"/>
      <c r="S23" s="31"/>
      <c r="T23" s="31"/>
      <c r="U23" s="31"/>
      <c r="V23" s="31"/>
      <c r="W23" s="31"/>
      <c r="X23" s="31"/>
      <c r="Y23" s="31"/>
      <c r="Z23" s="31"/>
      <c r="AA23" s="31"/>
      <c r="AB23" s="31"/>
      <c r="AC23" s="31"/>
    </row>
    <row r="24" spans="1:29" x14ac:dyDescent="0.25">
      <c r="A24" s="4">
        <f t="shared" si="7"/>
        <v>14</v>
      </c>
      <c r="B24" s="676">
        <v>46075</v>
      </c>
      <c r="C24" s="176">
        <v>1930</v>
      </c>
      <c r="D24" s="674">
        <v>71843</v>
      </c>
      <c r="E24" s="124">
        <f t="shared" si="10"/>
        <v>73773</v>
      </c>
      <c r="F24" s="177">
        <f t="shared" si="8"/>
        <v>3.5560607494163681</v>
      </c>
      <c r="G24" s="232">
        <f t="shared" si="0"/>
        <v>132.37205824887053</v>
      </c>
      <c r="H24" s="573">
        <f t="shared" si="11"/>
        <v>135.92811899828689</v>
      </c>
      <c r="I24" s="52">
        <f t="shared" si="1"/>
        <v>1926.4439392505835</v>
      </c>
      <c r="J24" s="232">
        <f t="shared" si="2"/>
        <v>71710.627941751125</v>
      </c>
      <c r="K24" s="124">
        <f t="shared" si="3"/>
        <v>73637.071881001713</v>
      </c>
      <c r="L24" s="240">
        <v>0.91666666666666663</v>
      </c>
      <c r="M24" s="52">
        <f t="shared" si="4"/>
        <v>1765.9069443130347</v>
      </c>
      <c r="N24" s="232">
        <f t="shared" si="5"/>
        <v>65734.742279938524</v>
      </c>
      <c r="O24" s="573">
        <f t="shared" si="6"/>
        <v>67500.649224251552</v>
      </c>
      <c r="P24" s="4">
        <f t="shared" si="9"/>
        <v>14</v>
      </c>
      <c r="Q24" s="31"/>
      <c r="R24" s="31"/>
      <c r="S24" s="31"/>
      <c r="T24" s="31"/>
      <c r="U24" s="31"/>
      <c r="V24" s="31"/>
      <c r="W24" s="31"/>
      <c r="X24" s="31"/>
      <c r="Y24" s="31"/>
      <c r="Z24" s="31"/>
      <c r="AA24" s="31"/>
      <c r="AB24" s="31"/>
      <c r="AC24" s="31"/>
    </row>
    <row r="25" spans="1:29" x14ac:dyDescent="0.25">
      <c r="A25" s="4">
        <f t="shared" si="7"/>
        <v>15</v>
      </c>
      <c r="B25" s="676">
        <v>46103</v>
      </c>
      <c r="C25" s="176">
        <v>2082</v>
      </c>
      <c r="D25" s="674">
        <v>26914</v>
      </c>
      <c r="E25" s="124">
        <f t="shared" si="10"/>
        <v>28996</v>
      </c>
      <c r="F25" s="177">
        <f t="shared" si="8"/>
        <v>3.8361235649144447</v>
      </c>
      <c r="G25" s="232">
        <f t="shared" si="0"/>
        <v>49.589543528389704</v>
      </c>
      <c r="H25" s="573">
        <f t="shared" si="11"/>
        <v>53.425667093304149</v>
      </c>
      <c r="I25" s="52">
        <f t="shared" si="1"/>
        <v>2078.1638764350855</v>
      </c>
      <c r="J25" s="232">
        <f t="shared" si="2"/>
        <v>26864.410456471611</v>
      </c>
      <c r="K25" s="124">
        <f t="shared" si="3"/>
        <v>28942.574332906697</v>
      </c>
      <c r="L25" s="240">
        <v>0.83333333333333337</v>
      </c>
      <c r="M25" s="52">
        <f t="shared" si="4"/>
        <v>1731.8032303625714</v>
      </c>
      <c r="N25" s="232">
        <f t="shared" si="5"/>
        <v>22387.008713726344</v>
      </c>
      <c r="O25" s="573">
        <f t="shared" si="6"/>
        <v>24118.811944088913</v>
      </c>
      <c r="P25" s="4">
        <f t="shared" si="9"/>
        <v>15</v>
      </c>
      <c r="Q25" s="31"/>
      <c r="R25" s="31"/>
      <c r="S25" s="31"/>
      <c r="T25" s="31"/>
      <c r="U25" s="31"/>
      <c r="V25" s="31"/>
      <c r="W25" s="31"/>
      <c r="X25" s="31"/>
      <c r="Y25" s="31"/>
      <c r="Z25" s="31"/>
      <c r="AA25" s="31"/>
      <c r="AB25" s="31"/>
      <c r="AC25" s="31"/>
    </row>
    <row r="26" spans="1:29" ht="16.5" thickBot="1" x14ac:dyDescent="0.3">
      <c r="A26" s="4">
        <f t="shared" si="7"/>
        <v>16</v>
      </c>
      <c r="B26" s="677">
        <v>46134</v>
      </c>
      <c r="C26" s="178">
        <v>2519</v>
      </c>
      <c r="D26" s="674">
        <v>27044</v>
      </c>
      <c r="E26" s="179">
        <f t="shared" si="10"/>
        <v>29563</v>
      </c>
      <c r="F26" s="180">
        <f t="shared" si="8"/>
        <v>4.6413041594714146</v>
      </c>
      <c r="G26" s="181">
        <f t="shared" si="0"/>
        <v>49.829070936381477</v>
      </c>
      <c r="H26" s="182">
        <f t="shared" si="11"/>
        <v>54.470375095852894</v>
      </c>
      <c r="I26" s="183">
        <f t="shared" si="1"/>
        <v>2514.3586958405285</v>
      </c>
      <c r="J26" s="181">
        <f t="shared" si="2"/>
        <v>26994.170929063617</v>
      </c>
      <c r="K26" s="179">
        <f t="shared" si="3"/>
        <v>29508.529624904146</v>
      </c>
      <c r="L26" s="244">
        <v>0.75</v>
      </c>
      <c r="M26" s="181">
        <f t="shared" si="4"/>
        <v>1885.7690218803964</v>
      </c>
      <c r="N26" s="181">
        <f t="shared" si="5"/>
        <v>20245.628196797712</v>
      </c>
      <c r="O26" s="182">
        <f t="shared" si="6"/>
        <v>22131.39721867811</v>
      </c>
      <c r="P26" s="4">
        <f t="shared" si="9"/>
        <v>16</v>
      </c>
      <c r="Q26" s="31"/>
      <c r="R26" s="31"/>
      <c r="S26" s="31"/>
      <c r="T26" s="31"/>
      <c r="U26" s="31"/>
      <c r="V26" s="31"/>
      <c r="W26" s="31"/>
      <c r="X26" s="31"/>
      <c r="Y26" s="31"/>
      <c r="Z26" s="31"/>
      <c r="AA26" s="31"/>
      <c r="AB26" s="31"/>
      <c r="AC26" s="31"/>
    </row>
    <row r="27" spans="1:29" x14ac:dyDescent="0.25">
      <c r="A27" s="4">
        <f t="shared" si="7"/>
        <v>17</v>
      </c>
      <c r="B27" s="676">
        <v>46164</v>
      </c>
      <c r="C27" s="176">
        <v>2645</v>
      </c>
      <c r="D27" s="184">
        <v>21078</v>
      </c>
      <c r="E27" s="6">
        <f t="shared" si="10"/>
        <v>23723</v>
      </c>
      <c r="F27" s="185">
        <f t="shared" si="8"/>
        <v>4.8734614933711367</v>
      </c>
      <c r="G27" s="128">
        <f t="shared" si="0"/>
        <v>38.836605428081974</v>
      </c>
      <c r="H27" s="127">
        <f t="shared" si="11"/>
        <v>43.710066921453112</v>
      </c>
      <c r="I27" s="186">
        <f t="shared" si="1"/>
        <v>2640.126538506629</v>
      </c>
      <c r="J27" s="128">
        <f t="shared" si="2"/>
        <v>21039.163394571919</v>
      </c>
      <c r="K27" s="6">
        <f t="shared" si="3"/>
        <v>23679.289933078548</v>
      </c>
      <c r="L27" s="245">
        <v>0.66666666666666663</v>
      </c>
      <c r="M27" s="52">
        <f t="shared" si="4"/>
        <v>1760.0843590044192</v>
      </c>
      <c r="N27" s="128">
        <f t="shared" si="5"/>
        <v>14026.108929714612</v>
      </c>
      <c r="O27" s="127">
        <f t="shared" si="6"/>
        <v>15786.193288719031</v>
      </c>
      <c r="P27" s="4">
        <f t="shared" si="9"/>
        <v>17</v>
      </c>
      <c r="Q27" s="31"/>
      <c r="R27" s="31"/>
      <c r="S27" s="31"/>
      <c r="T27" s="31"/>
      <c r="U27" s="31"/>
      <c r="V27" s="31"/>
      <c r="W27" s="31"/>
      <c r="X27" s="31"/>
      <c r="Y27" s="31"/>
      <c r="Z27" s="31"/>
      <c r="AA27" s="31"/>
      <c r="AB27" s="31"/>
      <c r="AC27" s="31"/>
    </row>
    <row r="28" spans="1:29" x14ac:dyDescent="0.25">
      <c r="A28" s="4">
        <f t="shared" si="7"/>
        <v>18</v>
      </c>
      <c r="B28" s="676">
        <v>46195</v>
      </c>
      <c r="C28" s="176">
        <v>2492</v>
      </c>
      <c r="D28" s="674">
        <v>90439</v>
      </c>
      <c r="E28" s="124">
        <f t="shared" si="10"/>
        <v>92931</v>
      </c>
      <c r="F28" s="177">
        <f t="shared" si="8"/>
        <v>4.5915561593500458</v>
      </c>
      <c r="G28" s="232">
        <f t="shared" si="0"/>
        <v>166.63553270283259</v>
      </c>
      <c r="H28" s="573">
        <f t="shared" si="11"/>
        <v>171.22708886218263</v>
      </c>
      <c r="I28" s="52">
        <f t="shared" si="1"/>
        <v>2487.4084438406499</v>
      </c>
      <c r="J28" s="232">
        <f t="shared" si="2"/>
        <v>90272.364467297171</v>
      </c>
      <c r="K28" s="124">
        <f t="shared" si="3"/>
        <v>92759.772911137814</v>
      </c>
      <c r="L28" s="240">
        <v>0.58333333333333337</v>
      </c>
      <c r="M28" s="52">
        <f t="shared" si="4"/>
        <v>1450.9882589070457</v>
      </c>
      <c r="N28" s="232">
        <f t="shared" si="5"/>
        <v>52658.87927259002</v>
      </c>
      <c r="O28" s="573">
        <f t="shared" si="6"/>
        <v>54109.867531497068</v>
      </c>
      <c r="P28" s="4">
        <f t="shared" si="9"/>
        <v>18</v>
      </c>
      <c r="Q28" s="31"/>
      <c r="R28" s="31"/>
      <c r="S28" s="31"/>
      <c r="T28" s="31"/>
      <c r="U28" s="31"/>
      <c r="V28" s="31"/>
      <c r="W28" s="31"/>
      <c r="X28" s="31"/>
      <c r="Y28" s="31"/>
      <c r="Z28" s="31"/>
      <c r="AA28" s="31"/>
      <c r="AB28" s="31"/>
      <c r="AC28" s="31"/>
    </row>
    <row r="29" spans="1:29" x14ac:dyDescent="0.25">
      <c r="A29" s="4">
        <f t="shared" si="7"/>
        <v>19</v>
      </c>
      <c r="B29" s="676">
        <v>46225</v>
      </c>
      <c r="C29" s="176">
        <v>19976</v>
      </c>
      <c r="D29" s="674">
        <v>26728</v>
      </c>
      <c r="E29" s="124">
        <f t="shared" si="10"/>
        <v>46704</v>
      </c>
      <c r="F29" s="177">
        <f t="shared" si="8"/>
        <v>36.806150015720917</v>
      </c>
      <c r="G29" s="232">
        <f t="shared" si="0"/>
        <v>49.246835083109161</v>
      </c>
      <c r="H29" s="573">
        <f t="shared" si="11"/>
        <v>86.052985098830078</v>
      </c>
      <c r="I29" s="52">
        <f t="shared" si="1"/>
        <v>19939.19384998428</v>
      </c>
      <c r="J29" s="232">
        <f t="shared" si="2"/>
        <v>26678.753164916892</v>
      </c>
      <c r="K29" s="124">
        <f t="shared" si="3"/>
        <v>46617.947014901176</v>
      </c>
      <c r="L29" s="240">
        <v>0.5</v>
      </c>
      <c r="M29" s="52">
        <f t="shared" si="4"/>
        <v>9969.59692499214</v>
      </c>
      <c r="N29" s="232">
        <f t="shared" si="5"/>
        <v>13339.376582458446</v>
      </c>
      <c r="O29" s="573">
        <f t="shared" si="6"/>
        <v>23308.973507450588</v>
      </c>
      <c r="P29" s="4">
        <f t="shared" si="9"/>
        <v>19</v>
      </c>
      <c r="Q29" s="31"/>
      <c r="R29" s="31"/>
      <c r="S29" s="31"/>
      <c r="T29" s="31"/>
      <c r="U29" s="31"/>
      <c r="V29" s="31"/>
      <c r="W29" s="31"/>
      <c r="X29" s="31"/>
      <c r="Y29" s="31"/>
      <c r="Z29" s="31"/>
      <c r="AA29" s="31"/>
      <c r="AB29" s="31"/>
      <c r="AC29" s="31"/>
    </row>
    <row r="30" spans="1:29" ht="16.5" thickBot="1" x14ac:dyDescent="0.3">
      <c r="A30" s="4">
        <f t="shared" si="7"/>
        <v>20</v>
      </c>
      <c r="B30" s="677">
        <v>46256</v>
      </c>
      <c r="C30" s="178">
        <v>3153</v>
      </c>
      <c r="D30" s="674">
        <v>25458</v>
      </c>
      <c r="E30" s="179">
        <f t="shared" si="10"/>
        <v>28611</v>
      </c>
      <c r="F30" s="180">
        <f t="shared" si="8"/>
        <v>5.8094609030620763</v>
      </c>
      <c r="G30" s="181">
        <f t="shared" si="0"/>
        <v>46.906836558881814</v>
      </c>
      <c r="H30" s="182">
        <f t="shared" si="11"/>
        <v>52.716297461943888</v>
      </c>
      <c r="I30" s="183">
        <f t="shared" si="1"/>
        <v>3147.1905390969378</v>
      </c>
      <c r="J30" s="181">
        <f t="shared" si="2"/>
        <v>25411.093163441117</v>
      </c>
      <c r="K30" s="179">
        <f t="shared" si="3"/>
        <v>28558.283702538054</v>
      </c>
      <c r="L30" s="244">
        <v>0.41666666666666669</v>
      </c>
      <c r="M30" s="181">
        <f t="shared" si="4"/>
        <v>1311.3293912903907</v>
      </c>
      <c r="N30" s="181">
        <f t="shared" si="5"/>
        <v>10587.955484767133</v>
      </c>
      <c r="O30" s="182">
        <f t="shared" si="6"/>
        <v>11899.284876057523</v>
      </c>
      <c r="P30" s="4">
        <f t="shared" si="9"/>
        <v>20</v>
      </c>
      <c r="Q30" s="31"/>
      <c r="R30" s="31"/>
      <c r="S30" s="31"/>
      <c r="T30" s="31"/>
      <c r="U30" s="31"/>
      <c r="V30" s="31"/>
      <c r="W30" s="31"/>
      <c r="X30" s="31"/>
      <c r="Y30" s="31"/>
      <c r="Z30" s="31"/>
      <c r="AA30" s="31"/>
      <c r="AB30" s="31"/>
      <c r="AC30" s="31"/>
    </row>
    <row r="31" spans="1:29" x14ac:dyDescent="0.25">
      <c r="A31" s="4">
        <f t="shared" si="7"/>
        <v>21</v>
      </c>
      <c r="B31" s="676">
        <v>46287</v>
      </c>
      <c r="C31" s="176">
        <v>3310</v>
      </c>
      <c r="D31" s="184">
        <v>24587</v>
      </c>
      <c r="E31" s="124">
        <f t="shared" si="10"/>
        <v>27897</v>
      </c>
      <c r="F31" s="185">
        <f t="shared" si="8"/>
        <v>6.0987363111752213</v>
      </c>
      <c r="G31" s="128">
        <f t="shared" si="0"/>
        <v>45.302002925336907</v>
      </c>
      <c r="H31" s="573">
        <f>F31+G31</f>
        <v>51.400739236512131</v>
      </c>
      <c r="I31" s="186">
        <f t="shared" si="1"/>
        <v>3303.9012636888247</v>
      </c>
      <c r="J31" s="128">
        <f t="shared" si="2"/>
        <v>24541.697997074662</v>
      </c>
      <c r="K31" s="124">
        <f t="shared" si="3"/>
        <v>27845.599260763487</v>
      </c>
      <c r="L31" s="245">
        <v>0.33333333333333331</v>
      </c>
      <c r="M31" s="52">
        <f t="shared" si="4"/>
        <v>1101.3004212296082</v>
      </c>
      <c r="N31" s="128">
        <f t="shared" si="5"/>
        <v>8180.5659990248869</v>
      </c>
      <c r="O31" s="573">
        <f t="shared" si="6"/>
        <v>9281.8664202544951</v>
      </c>
      <c r="P31" s="4">
        <f t="shared" si="9"/>
        <v>21</v>
      </c>
      <c r="Q31" s="31"/>
      <c r="R31" s="31"/>
      <c r="S31" s="31"/>
      <c r="T31" s="31"/>
      <c r="U31" s="31"/>
      <c r="V31" s="31"/>
      <c r="W31" s="31"/>
      <c r="X31" s="31"/>
      <c r="Y31" s="31"/>
      <c r="Z31" s="31"/>
      <c r="AA31" s="31"/>
      <c r="AB31" s="31"/>
      <c r="AC31" s="31"/>
    </row>
    <row r="32" spans="1:29" x14ac:dyDescent="0.25">
      <c r="A32" s="4">
        <f t="shared" si="7"/>
        <v>22</v>
      </c>
      <c r="B32" s="676">
        <v>46317</v>
      </c>
      <c r="C32" s="176">
        <v>2015</v>
      </c>
      <c r="D32" s="674">
        <v>16633</v>
      </c>
      <c r="E32" s="6">
        <f t="shared" si="10"/>
        <v>18648</v>
      </c>
      <c r="F32" s="177">
        <f t="shared" si="8"/>
        <v>3.7126748238725291</v>
      </c>
      <c r="G32" s="232">
        <f t="shared" si="0"/>
        <v>30.64661059328624</v>
      </c>
      <c r="H32" s="127">
        <f t="shared" si="11"/>
        <v>34.359285417158773</v>
      </c>
      <c r="I32" s="52">
        <f t="shared" si="1"/>
        <v>2011.2873251761275</v>
      </c>
      <c r="J32" s="232">
        <f t="shared" si="2"/>
        <v>16602.353389406715</v>
      </c>
      <c r="K32" s="6">
        <f t="shared" si="3"/>
        <v>18613.640714582842</v>
      </c>
      <c r="L32" s="240">
        <v>0.25</v>
      </c>
      <c r="M32" s="52">
        <f t="shared" si="4"/>
        <v>502.82183129403188</v>
      </c>
      <c r="N32" s="232">
        <f t="shared" si="5"/>
        <v>4150.5883473516787</v>
      </c>
      <c r="O32" s="127">
        <f t="shared" si="6"/>
        <v>4653.4101786457104</v>
      </c>
      <c r="P32" s="4">
        <f t="shared" si="9"/>
        <v>22</v>
      </c>
      <c r="Q32" s="31"/>
      <c r="R32" s="31"/>
      <c r="S32" s="31"/>
      <c r="T32" s="31"/>
      <c r="U32" s="31"/>
      <c r="V32" s="31"/>
      <c r="W32" s="31"/>
      <c r="X32" s="31"/>
      <c r="Y32" s="31"/>
      <c r="Z32" s="31"/>
      <c r="AA32" s="31"/>
      <c r="AB32" s="31"/>
      <c r="AC32" s="31"/>
    </row>
    <row r="33" spans="1:29" x14ac:dyDescent="0.25">
      <c r="A33" s="4">
        <f t="shared" si="7"/>
        <v>23</v>
      </c>
      <c r="B33" s="676">
        <v>46348</v>
      </c>
      <c r="C33" s="176">
        <v>1599</v>
      </c>
      <c r="D33" s="674">
        <v>14487</v>
      </c>
      <c r="E33" s="124">
        <f t="shared" si="10"/>
        <v>16086</v>
      </c>
      <c r="F33" s="177">
        <f t="shared" si="8"/>
        <v>2.9461871182988459</v>
      </c>
      <c r="G33" s="232">
        <f t="shared" si="0"/>
        <v>26.692565842898922</v>
      </c>
      <c r="H33" s="573">
        <f t="shared" si="11"/>
        <v>29.638752961197767</v>
      </c>
      <c r="I33" s="52">
        <f t="shared" si="1"/>
        <v>1596.0538128817011</v>
      </c>
      <c r="J33" s="232">
        <f t="shared" si="2"/>
        <v>14460.307434157101</v>
      </c>
      <c r="K33" s="124">
        <f t="shared" si="3"/>
        <v>16056.361247038802</v>
      </c>
      <c r="L33" s="240">
        <v>0.16666666666666666</v>
      </c>
      <c r="M33" s="52">
        <f t="shared" si="4"/>
        <v>266.00896881361683</v>
      </c>
      <c r="N33" s="232">
        <f t="shared" si="5"/>
        <v>2410.0512390261833</v>
      </c>
      <c r="O33" s="573">
        <f t="shared" si="6"/>
        <v>2676.0602078398001</v>
      </c>
      <c r="P33" s="4">
        <f t="shared" si="9"/>
        <v>23</v>
      </c>
      <c r="Q33" s="31"/>
      <c r="R33" s="31"/>
      <c r="S33" s="31"/>
      <c r="T33" s="31"/>
      <c r="U33" s="31"/>
      <c r="V33" s="31"/>
      <c r="W33" s="31"/>
      <c r="X33" s="31"/>
      <c r="Y33" s="31"/>
      <c r="Z33" s="31"/>
      <c r="AA33" s="31"/>
      <c r="AB33" s="31"/>
      <c r="AC33" s="31"/>
    </row>
    <row r="34" spans="1:29" ht="16.5" thickBot="1" x14ac:dyDescent="0.3">
      <c r="A34" s="4">
        <f t="shared" si="7"/>
        <v>24</v>
      </c>
      <c r="B34" s="676">
        <v>46378</v>
      </c>
      <c r="C34" s="176">
        <v>16905</v>
      </c>
      <c r="D34" s="674">
        <v>77233</v>
      </c>
      <c r="E34" s="124">
        <f>C34+D34</f>
        <v>94138</v>
      </c>
      <c r="F34" s="180">
        <f t="shared" si="8"/>
        <v>31.147775631545958</v>
      </c>
      <c r="G34" s="181">
        <f t="shared" si="0"/>
        <v>142.30323308791418</v>
      </c>
      <c r="H34" s="573">
        <f t="shared" si="11"/>
        <v>173.45100871946013</v>
      </c>
      <c r="I34" s="183">
        <f t="shared" si="1"/>
        <v>16873.852224368453</v>
      </c>
      <c r="J34" s="181">
        <f t="shared" si="2"/>
        <v>77090.696766912079</v>
      </c>
      <c r="K34" s="124">
        <f t="shared" si="3"/>
        <v>93964.548991280535</v>
      </c>
      <c r="L34" s="240">
        <v>8.3333333333333329E-2</v>
      </c>
      <c r="M34" s="52">
        <f t="shared" si="4"/>
        <v>1406.1543520307043</v>
      </c>
      <c r="N34" s="181">
        <f t="shared" si="5"/>
        <v>6424.2247305760066</v>
      </c>
      <c r="O34" s="573">
        <f t="shared" si="6"/>
        <v>7830.3790826067107</v>
      </c>
      <c r="P34" s="4">
        <f t="shared" si="9"/>
        <v>24</v>
      </c>
      <c r="Q34" s="31"/>
      <c r="R34" s="427"/>
      <c r="S34" s="31"/>
      <c r="T34" s="31"/>
      <c r="U34" s="31"/>
      <c r="V34" s="31"/>
      <c r="W34" s="31"/>
      <c r="X34" s="31"/>
      <c r="Y34" s="31"/>
      <c r="Z34" s="31"/>
      <c r="AA34" s="31"/>
      <c r="AB34" s="31"/>
      <c r="AC34" s="31"/>
    </row>
    <row r="35" spans="1:29" ht="16.5" thickBot="1" x14ac:dyDescent="0.3">
      <c r="A35" s="4">
        <f t="shared" si="7"/>
        <v>25</v>
      </c>
      <c r="B35" s="541" t="s">
        <v>180</v>
      </c>
      <c r="C35" s="187">
        <f t="shared" ref="C35:K35" si="12">SUM(C11:C34)</f>
        <v>89719</v>
      </c>
      <c r="D35" s="188">
        <f t="shared" si="12"/>
        <v>960369</v>
      </c>
      <c r="E35" s="189">
        <f t="shared" si="12"/>
        <v>1050088</v>
      </c>
      <c r="F35" s="187">
        <f t="shared" si="12"/>
        <v>165.30891936626273</v>
      </c>
      <c r="G35" s="188">
        <f t="shared" si="12"/>
        <v>1769.4976714281072</v>
      </c>
      <c r="H35" s="190">
        <f t="shared" si="12"/>
        <v>1934.8065907943705</v>
      </c>
      <c r="I35" s="191">
        <f t="shared" si="12"/>
        <v>89553.69108063374</v>
      </c>
      <c r="J35" s="188">
        <f t="shared" si="12"/>
        <v>958599.50232857198</v>
      </c>
      <c r="K35" s="189">
        <f t="shared" si="12"/>
        <v>1048153.1934092056</v>
      </c>
      <c r="L35" s="192"/>
      <c r="M35" s="191">
        <f>SUM(M11:M34)</f>
        <v>54187.474275681889</v>
      </c>
      <c r="N35" s="188">
        <f>SUM(N11:N34)</f>
        <v>757078.99299947941</v>
      </c>
      <c r="O35" s="190">
        <f>SUM(O11:O34)</f>
        <v>811266.4672751613</v>
      </c>
      <c r="P35" s="4">
        <f t="shared" si="9"/>
        <v>25</v>
      </c>
      <c r="Q35" s="31"/>
      <c r="R35" s="31"/>
      <c r="S35" s="31"/>
      <c r="T35" s="31"/>
      <c r="U35" s="31"/>
      <c r="V35" s="31"/>
      <c r="W35" s="31"/>
      <c r="X35" s="31"/>
      <c r="Y35" s="31"/>
      <c r="Z35" s="31"/>
      <c r="AA35" s="31"/>
      <c r="AB35" s="31"/>
      <c r="AC35" s="31"/>
    </row>
    <row r="36" spans="1:29" x14ac:dyDescent="0.25">
      <c r="A36" s="4">
        <f>A35+1</f>
        <v>26</v>
      </c>
      <c r="B36" s="515"/>
      <c r="C36" s="6"/>
      <c r="D36" s="6"/>
      <c r="E36" s="542"/>
      <c r="F36" s="31"/>
      <c r="G36" s="31"/>
      <c r="H36" s="6"/>
      <c r="I36" s="31"/>
      <c r="J36" s="31"/>
      <c r="K36" s="6"/>
      <c r="L36" s="31"/>
      <c r="M36" s="31"/>
      <c r="N36" s="31"/>
      <c r="O36" s="127"/>
      <c r="P36" s="4">
        <f>P35+1</f>
        <v>26</v>
      </c>
      <c r="Q36" s="31"/>
      <c r="R36" s="31"/>
      <c r="S36" s="31"/>
      <c r="T36" s="31"/>
      <c r="U36" s="31"/>
      <c r="V36" s="31"/>
      <c r="W36" s="31"/>
      <c r="X36" s="31"/>
      <c r="Y36" s="31"/>
      <c r="Z36" s="31"/>
      <c r="AA36" s="31"/>
      <c r="AB36" s="31"/>
      <c r="AC36" s="31"/>
    </row>
    <row r="37" spans="1:29" s="413" customFormat="1" x14ac:dyDescent="0.25">
      <c r="A37" s="4">
        <f>A36+1</f>
        <v>27</v>
      </c>
      <c r="B37" s="543"/>
      <c r="E37" s="31" t="s">
        <v>1434</v>
      </c>
      <c r="F37" s="544"/>
      <c r="G37" s="544"/>
      <c r="H37" s="82">
        <v>17304.988000000001</v>
      </c>
      <c r="I37" s="193"/>
      <c r="J37" s="31" t="s">
        <v>1435</v>
      </c>
      <c r="K37" s="193"/>
      <c r="L37" s="193"/>
      <c r="M37" s="193"/>
      <c r="O37" s="545"/>
      <c r="P37" s="4">
        <f t="shared" ref="P37:P42" si="13">P36+1</f>
        <v>27</v>
      </c>
      <c r="Q37" s="31"/>
    </row>
    <row r="38" spans="1:29" s="413" customFormat="1" x14ac:dyDescent="0.25">
      <c r="A38" s="4">
        <f>A37+1</f>
        <v>28</v>
      </c>
      <c r="B38" s="543"/>
      <c r="E38" s="31"/>
      <c r="F38" s="544"/>
      <c r="G38" s="544"/>
      <c r="H38" s="6"/>
      <c r="I38" s="193"/>
      <c r="J38" s="31"/>
      <c r="K38" s="193"/>
      <c r="L38" s="193"/>
      <c r="M38" s="193"/>
      <c r="O38" s="545"/>
      <c r="P38" s="4">
        <f t="shared" si="13"/>
        <v>28</v>
      </c>
      <c r="Q38" s="31"/>
    </row>
    <row r="39" spans="1:29" s="413" customFormat="1" x14ac:dyDescent="0.25">
      <c r="A39" s="4">
        <f t="shared" ref="A39:A40" si="14">A38+1</f>
        <v>29</v>
      </c>
      <c r="B39" s="543"/>
      <c r="E39" s="31" t="s">
        <v>1436</v>
      </c>
      <c r="F39" s="544"/>
      <c r="G39" s="43"/>
      <c r="H39" s="678">
        <v>9392029.3249999993</v>
      </c>
      <c r="I39" s="193"/>
      <c r="J39" s="31" t="s">
        <v>1437</v>
      </c>
      <c r="K39" s="193"/>
      <c r="L39" s="193"/>
      <c r="M39" s="193"/>
      <c r="O39" s="545"/>
      <c r="P39" s="4">
        <f t="shared" si="13"/>
        <v>29</v>
      </c>
      <c r="Q39" s="31"/>
    </row>
    <row r="40" spans="1:29" s="413" customFormat="1" ht="16.5" thickBot="1" x14ac:dyDescent="0.3">
      <c r="A40" s="4">
        <f t="shared" si="14"/>
        <v>30</v>
      </c>
      <c r="B40" s="543"/>
      <c r="E40" s="544"/>
      <c r="F40" s="544"/>
      <c r="G40" s="544"/>
      <c r="H40" s="193"/>
      <c r="I40" s="193"/>
      <c r="J40" s="193"/>
      <c r="K40" s="193"/>
      <c r="L40" s="193"/>
      <c r="M40" s="193"/>
      <c r="O40" s="545"/>
      <c r="P40" s="4">
        <f t="shared" si="13"/>
        <v>30</v>
      </c>
    </row>
    <row r="41" spans="1:29" ht="16.5" thickBot="1" x14ac:dyDescent="0.3">
      <c r="A41" s="4">
        <f>A40+1</f>
        <v>31</v>
      </c>
      <c r="B41" s="515"/>
      <c r="C41" s="31"/>
      <c r="D41" s="31"/>
      <c r="E41" s="1" t="s">
        <v>1438</v>
      </c>
      <c r="F41" s="31"/>
      <c r="G41" s="31"/>
      <c r="H41" s="194">
        <f>IFERROR(H37/H39,0)</f>
        <v>1.8425185230136621E-3</v>
      </c>
      <c r="I41" s="31"/>
      <c r="J41" s="31" t="s">
        <v>1439</v>
      </c>
      <c r="K41" s="47"/>
      <c r="L41" s="31"/>
      <c r="M41" s="31"/>
      <c r="N41" s="31"/>
      <c r="O41" s="380"/>
      <c r="P41" s="4">
        <f t="shared" si="13"/>
        <v>31</v>
      </c>
      <c r="Q41" s="31"/>
      <c r="R41" s="413"/>
      <c r="S41" s="31"/>
      <c r="T41" s="31"/>
      <c r="U41" s="31"/>
      <c r="V41" s="31"/>
      <c r="W41" s="31"/>
      <c r="X41" s="31"/>
      <c r="Y41" s="31"/>
      <c r="Z41" s="31"/>
      <c r="AA41" s="31"/>
      <c r="AB41" s="31"/>
      <c r="AC41" s="31"/>
    </row>
    <row r="42" spans="1:29" ht="16.5" thickBot="1" x14ac:dyDescent="0.3">
      <c r="A42" s="4">
        <f t="shared" si="7"/>
        <v>32</v>
      </c>
      <c r="B42" s="546"/>
      <c r="C42" s="862"/>
      <c r="D42" s="862"/>
      <c r="E42" s="892"/>
      <c r="F42" s="862"/>
      <c r="G42" s="862"/>
      <c r="H42" s="1072"/>
      <c r="I42" s="862"/>
      <c r="J42" s="862"/>
      <c r="K42" s="862"/>
      <c r="L42" s="862"/>
      <c r="M42" s="862"/>
      <c r="N42" s="862"/>
      <c r="O42" s="195"/>
      <c r="P42" s="4">
        <f t="shared" si="13"/>
        <v>32</v>
      </c>
      <c r="Q42" s="413"/>
      <c r="R42" s="31"/>
      <c r="S42" s="31"/>
      <c r="T42" s="31"/>
      <c r="U42" s="31"/>
      <c r="V42" s="31"/>
      <c r="W42" s="31"/>
      <c r="X42" s="31"/>
      <c r="Y42" s="31"/>
      <c r="Z42" s="31"/>
      <c r="AA42" s="31"/>
      <c r="AB42" s="31"/>
      <c r="AC42" s="31"/>
    </row>
    <row r="43" spans="1:29" ht="16.5" thickBot="1" x14ac:dyDescent="0.3">
      <c r="A43" s="4">
        <f t="shared" si="7"/>
        <v>33</v>
      </c>
      <c r="B43" s="515"/>
      <c r="C43" s="31"/>
      <c r="D43" s="31"/>
      <c r="E43" s="6"/>
      <c r="F43" s="31"/>
      <c r="G43" s="31"/>
      <c r="H43" s="31"/>
      <c r="I43" s="31"/>
      <c r="J43" s="31"/>
      <c r="K43" s="6" t="s">
        <v>1</v>
      </c>
      <c r="L43" s="31"/>
      <c r="M43" s="47"/>
      <c r="N43" s="47"/>
      <c r="O43" s="547"/>
      <c r="P43" s="4">
        <f t="shared" si="9"/>
        <v>33</v>
      </c>
      <c r="Q43" s="413"/>
      <c r="R43" s="31"/>
      <c r="S43" s="31"/>
      <c r="T43" s="31"/>
      <c r="U43" s="31"/>
      <c r="V43" s="31"/>
      <c r="W43" s="31"/>
      <c r="X43" s="31"/>
      <c r="Y43" s="31"/>
      <c r="Z43" s="31"/>
      <c r="AA43" s="31"/>
      <c r="AB43" s="31"/>
      <c r="AC43" s="31"/>
    </row>
    <row r="44" spans="1:29" ht="16.5" thickBot="1" x14ac:dyDescent="0.3">
      <c r="A44" s="4">
        <f t="shared" si="7"/>
        <v>34</v>
      </c>
      <c r="B44" s="548"/>
      <c r="C44" s="31"/>
      <c r="D44" s="250"/>
      <c r="E44" s="549"/>
      <c r="F44" s="1073"/>
      <c r="G44" s="1074"/>
      <c r="H44" s="1074" t="s">
        <v>1440</v>
      </c>
      <c r="I44" s="550" t="s">
        <v>1441</v>
      </c>
      <c r="J44" s="551" t="s">
        <v>1442</v>
      </c>
      <c r="K44" s="552" t="s">
        <v>1399</v>
      </c>
      <c r="L44" s="1"/>
      <c r="M44" s="553" t="s">
        <v>1402</v>
      </c>
      <c r="N44" s="554" t="s">
        <v>1403</v>
      </c>
      <c r="O44" s="555" t="s">
        <v>1443</v>
      </c>
      <c r="P44" s="4">
        <f t="shared" si="9"/>
        <v>34</v>
      </c>
      <c r="Q44" s="413"/>
      <c r="R44" s="31"/>
      <c r="S44" s="31"/>
      <c r="T44" s="31"/>
      <c r="U44" s="31"/>
      <c r="V44" s="31"/>
      <c r="W44" s="31"/>
      <c r="X44" s="31"/>
      <c r="Y44" s="31"/>
      <c r="Z44" s="31"/>
      <c r="AA44" s="31"/>
      <c r="AB44" s="31"/>
      <c r="AC44" s="31"/>
    </row>
    <row r="45" spans="1:29" ht="16.5" thickBot="1" x14ac:dyDescent="0.3">
      <c r="A45" s="4">
        <f t="shared" si="7"/>
        <v>35</v>
      </c>
      <c r="B45" s="515"/>
      <c r="C45" s="31"/>
      <c r="D45" s="31"/>
      <c r="E45" s="556"/>
      <c r="F45" s="363"/>
      <c r="G45" s="557"/>
      <c r="H45" s="557" t="s">
        <v>1444</v>
      </c>
      <c r="I45" s="196">
        <f>+I35</f>
        <v>89553.69108063374</v>
      </c>
      <c r="J45" s="196">
        <f>+J35</f>
        <v>958599.50232857198</v>
      </c>
      <c r="K45" s="197">
        <f>+K35</f>
        <v>1048153.1934092056</v>
      </c>
      <c r="L45" s="43"/>
      <c r="M45" s="198">
        <f>+M35</f>
        <v>54187.474275681889</v>
      </c>
      <c r="N45" s="199">
        <f>+N35</f>
        <v>757078.99299947941</v>
      </c>
      <c r="O45" s="197">
        <f>+O35</f>
        <v>811266.4672751613</v>
      </c>
      <c r="P45" s="4">
        <f t="shared" si="9"/>
        <v>35</v>
      </c>
      <c r="Q45" s="31"/>
      <c r="R45" s="31"/>
      <c r="S45" s="31"/>
      <c r="T45" s="31"/>
      <c r="U45" s="31"/>
      <c r="V45" s="31"/>
      <c r="W45" s="31"/>
      <c r="X45" s="31"/>
      <c r="Y45" s="31"/>
      <c r="Z45" s="31"/>
      <c r="AA45" s="31"/>
      <c r="AB45" s="31"/>
      <c r="AC45" s="31"/>
    </row>
    <row r="46" spans="1:29" ht="16.5" thickTop="1" x14ac:dyDescent="0.25">
      <c r="A46" s="4">
        <f t="shared" si="7"/>
        <v>36</v>
      </c>
      <c r="B46" s="515"/>
      <c r="C46" s="31"/>
      <c r="D46" s="31"/>
      <c r="E46" s="515"/>
      <c r="F46" s="31"/>
      <c r="G46" s="29"/>
      <c r="H46" s="29"/>
      <c r="I46" s="163"/>
      <c r="J46" s="163"/>
      <c r="K46" s="127"/>
      <c r="L46" s="31"/>
      <c r="M46" s="177"/>
      <c r="N46" s="232"/>
      <c r="O46" s="127"/>
      <c r="P46" s="4">
        <f t="shared" si="9"/>
        <v>36</v>
      </c>
      <c r="Q46" s="31"/>
      <c r="R46" s="31"/>
      <c r="S46" s="31"/>
      <c r="T46" s="31"/>
      <c r="U46" s="31"/>
      <c r="V46" s="31"/>
      <c r="W46" s="31"/>
      <c r="X46" s="31"/>
      <c r="Y46" s="31"/>
      <c r="Z46" s="31"/>
      <c r="AA46" s="31"/>
      <c r="AB46" s="31"/>
      <c r="AC46" s="31"/>
    </row>
    <row r="47" spans="1:29" ht="16.5" thickBot="1" x14ac:dyDescent="0.3">
      <c r="A47" s="4">
        <f>A46+1</f>
        <v>37</v>
      </c>
      <c r="B47" s="515"/>
      <c r="C47" s="31"/>
      <c r="D47" s="31"/>
      <c r="E47" s="515"/>
      <c r="F47" s="31"/>
      <c r="G47" s="29"/>
      <c r="H47" s="471" t="s">
        <v>1445</v>
      </c>
      <c r="I47" s="200">
        <f>IFERROR(+I45/K45,0)</f>
        <v>8.543950602235241E-2</v>
      </c>
      <c r="J47" s="200">
        <f>IFERROR(+J45/K45,0)</f>
        <v>0.9145604939776476</v>
      </c>
      <c r="K47" s="201">
        <f>I47+J47</f>
        <v>1</v>
      </c>
      <c r="L47" s="1"/>
      <c r="M47" s="202">
        <f>IFERROR(+M45/O45,0)</f>
        <v>6.6793681806772934E-2</v>
      </c>
      <c r="N47" s="203">
        <f>IFERROR(+N45/O45,0)</f>
        <v>0.93320631819322708</v>
      </c>
      <c r="O47" s="201">
        <f>M47+N47</f>
        <v>1</v>
      </c>
      <c r="P47" s="4">
        <f>P46+1</f>
        <v>37</v>
      </c>
      <c r="Q47" s="31"/>
      <c r="R47" s="31"/>
      <c r="S47" s="31"/>
      <c r="T47" s="31"/>
      <c r="U47" s="31"/>
      <c r="V47" s="31"/>
      <c r="W47" s="31"/>
      <c r="X47" s="31"/>
      <c r="Y47" s="31"/>
      <c r="Z47" s="31"/>
      <c r="AA47" s="31"/>
      <c r="AB47" s="31"/>
      <c r="AC47" s="31"/>
    </row>
    <row r="48" spans="1:29" ht="17.25" thickTop="1" thickBot="1" x14ac:dyDescent="0.3">
      <c r="A48" s="4">
        <f t="shared" si="7"/>
        <v>38</v>
      </c>
      <c r="B48" s="514"/>
      <c r="C48" s="31"/>
      <c r="D48" s="31"/>
      <c r="E48" s="546"/>
      <c r="F48" s="862"/>
      <c r="G48" s="862"/>
      <c r="H48" s="862"/>
      <c r="I48" s="204"/>
      <c r="J48" s="204"/>
      <c r="K48" s="195"/>
      <c r="L48" s="31"/>
      <c r="M48" s="205"/>
      <c r="N48" s="206"/>
      <c r="O48" s="195"/>
      <c r="P48" s="4">
        <f t="shared" si="9"/>
        <v>38</v>
      </c>
      <c r="Q48" s="31"/>
      <c r="R48" s="31"/>
      <c r="S48" s="31"/>
      <c r="T48" s="31"/>
      <c r="U48" s="31"/>
      <c r="V48" s="31"/>
      <c r="W48" s="31"/>
      <c r="X48" s="31"/>
      <c r="Y48" s="31"/>
      <c r="Z48" s="31"/>
      <c r="AA48" s="31"/>
      <c r="AB48" s="31"/>
      <c r="AC48" s="31"/>
    </row>
    <row r="49" spans="1:29" ht="16.5" thickBot="1" x14ac:dyDescent="0.3">
      <c r="A49" s="4">
        <f t="shared" si="7"/>
        <v>39</v>
      </c>
      <c r="B49" s="519"/>
      <c r="C49" s="862"/>
      <c r="D49" s="862"/>
      <c r="E49" s="862"/>
      <c r="F49" s="862"/>
      <c r="G49" s="862"/>
      <c r="H49" s="862"/>
      <c r="I49" s="862"/>
      <c r="J49" s="862"/>
      <c r="K49" s="862"/>
      <c r="L49" s="862"/>
      <c r="M49" s="862"/>
      <c r="N49" s="862"/>
      <c r="O49" s="195"/>
      <c r="P49" s="4">
        <f t="shared" si="9"/>
        <v>39</v>
      </c>
      <c r="Q49" s="31"/>
      <c r="R49" s="31"/>
      <c r="S49" s="31"/>
      <c r="T49" s="31"/>
      <c r="U49" s="31"/>
      <c r="V49" s="31"/>
      <c r="W49" s="31"/>
      <c r="X49" s="31"/>
      <c r="Y49" s="31"/>
      <c r="Z49" s="31"/>
      <c r="AA49" s="31"/>
      <c r="AB49" s="31"/>
      <c r="AC49" s="31"/>
    </row>
    <row r="50" spans="1:29" x14ac:dyDescent="0.25">
      <c r="B50" s="1"/>
      <c r="C50" s="31"/>
      <c r="D50" s="31"/>
      <c r="E50" s="31"/>
      <c r="F50" s="31"/>
      <c r="G50" s="31"/>
      <c r="H50" s="31"/>
      <c r="I50" s="31"/>
      <c r="J50" s="31"/>
      <c r="K50" s="31"/>
      <c r="L50" s="31"/>
      <c r="M50" s="31"/>
      <c r="N50" s="31"/>
      <c r="O50" s="31"/>
      <c r="Q50" s="31"/>
      <c r="R50" s="31"/>
      <c r="S50" s="31"/>
      <c r="T50" s="31"/>
      <c r="U50" s="31"/>
      <c r="V50" s="31"/>
      <c r="W50" s="31"/>
      <c r="X50" s="31"/>
      <c r="Y50" s="31"/>
      <c r="Z50" s="31"/>
      <c r="AA50" s="31"/>
      <c r="AB50" s="31"/>
      <c r="AC50" s="31"/>
    </row>
    <row r="51" spans="1:29" x14ac:dyDescent="0.25">
      <c r="B51" s="1"/>
      <c r="C51" s="31"/>
      <c r="D51" s="31"/>
      <c r="E51" s="31"/>
      <c r="F51" s="31"/>
      <c r="G51" s="31"/>
      <c r="H51" s="31"/>
      <c r="I51" s="31"/>
      <c r="J51" s="31"/>
      <c r="K51" s="31"/>
      <c r="L51" s="31"/>
      <c r="M51" s="31"/>
      <c r="N51" s="31"/>
      <c r="O51" s="31"/>
      <c r="Q51" s="31"/>
      <c r="R51" s="31"/>
      <c r="S51" s="31"/>
      <c r="T51" s="31"/>
      <c r="U51" s="31"/>
      <c r="V51" s="31"/>
      <c r="W51" s="31"/>
      <c r="X51" s="31"/>
      <c r="Y51" s="31"/>
      <c r="Z51" s="31"/>
      <c r="AA51" s="31"/>
      <c r="AB51" s="31"/>
      <c r="AC51" s="31"/>
    </row>
    <row r="52" spans="1:29" ht="18.75" x14ac:dyDescent="0.25">
      <c r="A52" s="252">
        <v>1</v>
      </c>
      <c r="B52" s="31" t="s">
        <v>1947</v>
      </c>
      <c r="C52" s="31"/>
      <c r="D52" s="31"/>
      <c r="E52" s="31"/>
      <c r="F52" s="31"/>
      <c r="G52" s="31"/>
      <c r="H52" s="31"/>
      <c r="I52" s="31"/>
      <c r="J52" s="31"/>
      <c r="K52" s="31"/>
      <c r="L52" s="31"/>
      <c r="M52" s="31"/>
      <c r="N52" s="31"/>
      <c r="O52" s="31"/>
      <c r="Q52" s="31"/>
      <c r="R52" s="31"/>
      <c r="S52" s="31"/>
      <c r="T52" s="31"/>
      <c r="U52" s="31"/>
      <c r="V52" s="31"/>
      <c r="W52" s="31"/>
      <c r="X52" s="31"/>
      <c r="Y52" s="31"/>
      <c r="Z52" s="31"/>
      <c r="AA52" s="31"/>
      <c r="AB52" s="31"/>
      <c r="AC52" s="31"/>
    </row>
    <row r="53" spans="1:29" x14ac:dyDescent="0.25">
      <c r="B53" s="1"/>
      <c r="C53" s="31"/>
      <c r="D53" s="31"/>
      <c r="E53" s="31"/>
      <c r="F53" s="31"/>
      <c r="G53" s="31"/>
      <c r="H53" s="31"/>
      <c r="I53" s="31"/>
      <c r="J53" s="31"/>
      <c r="K53" s="31"/>
      <c r="L53" s="31"/>
      <c r="M53" s="31"/>
      <c r="N53" s="31"/>
      <c r="O53" s="31"/>
      <c r="Q53" s="31"/>
      <c r="R53" s="31"/>
      <c r="S53" s="31"/>
      <c r="T53" s="31"/>
      <c r="U53" s="31"/>
      <c r="V53" s="31"/>
      <c r="W53" s="31"/>
      <c r="X53" s="31"/>
      <c r="Y53" s="31"/>
      <c r="Z53" s="31"/>
      <c r="AA53" s="31"/>
      <c r="AB53" s="31"/>
      <c r="AC53" s="31"/>
    </row>
    <row r="54" spans="1:29" x14ac:dyDescent="0.25">
      <c r="B54" s="1"/>
      <c r="C54" s="254"/>
      <c r="D54" s="31"/>
      <c r="E54" s="31"/>
      <c r="F54" s="31"/>
      <c r="G54" s="31"/>
      <c r="H54" s="31"/>
      <c r="I54" s="31"/>
      <c r="J54" s="31"/>
      <c r="K54" s="31"/>
      <c r="L54" s="31"/>
      <c r="M54" s="31"/>
      <c r="N54" s="31"/>
      <c r="O54" s="31"/>
      <c r="Q54" s="31"/>
      <c r="R54" s="31"/>
      <c r="S54" s="31"/>
      <c r="T54" s="31"/>
      <c r="U54" s="31"/>
      <c r="V54" s="31"/>
      <c r="W54" s="31"/>
      <c r="X54" s="31"/>
      <c r="Y54" s="31"/>
      <c r="Z54" s="31"/>
      <c r="AA54" s="31"/>
      <c r="AB54" s="31"/>
      <c r="AC54" s="31"/>
    </row>
    <row r="55" spans="1:29" x14ac:dyDescent="0.25">
      <c r="B55" s="31"/>
      <c r="C55" s="31"/>
      <c r="D55" s="31"/>
      <c r="E55" s="31"/>
      <c r="F55" s="31"/>
      <c r="G55" s="31"/>
      <c r="H55" s="31"/>
      <c r="I55" s="31"/>
      <c r="J55" s="31"/>
      <c r="K55" s="31"/>
      <c r="L55" s="31"/>
      <c r="M55" s="31"/>
      <c r="N55" s="31"/>
      <c r="O55" s="31"/>
      <c r="Q55" s="31"/>
      <c r="R55" s="31"/>
      <c r="S55" s="31"/>
      <c r="T55" s="31"/>
      <c r="U55" s="31"/>
      <c r="V55" s="31"/>
      <c r="W55" s="31"/>
      <c r="X55" s="31"/>
      <c r="Y55" s="31"/>
      <c r="Z55" s="31"/>
      <c r="AA55" s="31"/>
      <c r="AB55" s="31"/>
      <c r="AC55" s="31"/>
    </row>
  </sheetData>
  <mergeCells count="6">
    <mergeCell ref="C8:E8"/>
    <mergeCell ref="B2:O2"/>
    <mergeCell ref="B3:O3"/>
    <mergeCell ref="B4:O4"/>
    <mergeCell ref="B5:O5"/>
    <mergeCell ref="B6:O6"/>
  </mergeCells>
  <printOptions horizontalCentered="1"/>
  <pageMargins left="0.5" right="0.5" top="0.5" bottom="0.5" header="0.25" footer="0.25"/>
  <pageSetup scale="59" orientation="landscape" r:id="rId1"/>
  <headerFooter scaleWithDoc="0">
    <oddFooter>&amp;C&amp;"Times New Roman,Regular"&amp;10Summary of Weighted Transmission Plant Additions</oddFooter>
  </headerFooter>
  <customProperties>
    <customPr name="_pios_id" r:id="rId2"/>
  </customPropertie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R54"/>
  <sheetViews>
    <sheetView zoomScale="80" zoomScaleNormal="80" workbookViewId="0">
      <selection activeCell="H37" sqref="H37"/>
    </sheetView>
  </sheetViews>
  <sheetFormatPr defaultColWidth="8.7109375" defaultRowHeight="15.75" x14ac:dyDescent="0.25"/>
  <cols>
    <col min="1" max="1" width="5.28515625" style="4" customWidth="1"/>
    <col min="2" max="2" width="8.5703125" style="5" customWidth="1"/>
    <col min="3" max="11" width="15.5703125" style="5" customWidth="1"/>
    <col min="12" max="12" width="11.28515625" style="5" customWidth="1"/>
    <col min="13" max="15" width="15.5703125" style="5" customWidth="1"/>
    <col min="16" max="16" width="5.28515625" style="4" customWidth="1"/>
    <col min="17" max="16384" width="8.7109375" style="5"/>
  </cols>
  <sheetData>
    <row r="1" spans="1:18" x14ac:dyDescent="0.25">
      <c r="B1" s="31"/>
      <c r="C1" s="31"/>
      <c r="D1" s="254"/>
      <c r="E1" s="31"/>
      <c r="F1" s="31"/>
      <c r="G1" s="31"/>
      <c r="H1" s="31"/>
      <c r="I1" s="31"/>
      <c r="J1" s="31"/>
      <c r="K1" s="31"/>
      <c r="L1" s="4"/>
      <c r="M1" s="31"/>
      <c r="N1" s="31"/>
      <c r="O1" s="31"/>
      <c r="Q1" s="31"/>
      <c r="R1" s="31"/>
    </row>
    <row r="2" spans="1:18" ht="15.75" customHeight="1" x14ac:dyDescent="0.25">
      <c r="B2" s="1316" t="s">
        <v>0</v>
      </c>
      <c r="C2" s="1316"/>
      <c r="D2" s="1316"/>
      <c r="E2" s="1316"/>
      <c r="F2" s="1316"/>
      <c r="G2" s="1316"/>
      <c r="H2" s="1316"/>
      <c r="I2" s="1316"/>
      <c r="J2" s="1316"/>
      <c r="K2" s="1316"/>
      <c r="L2" s="1316"/>
      <c r="M2" s="1316"/>
      <c r="N2" s="1316"/>
      <c r="O2" s="1316"/>
      <c r="P2" s="217"/>
      <c r="Q2" s="31"/>
      <c r="R2" s="31"/>
    </row>
    <row r="3" spans="1:18" ht="15.75" customHeight="1" x14ac:dyDescent="0.25">
      <c r="B3" s="1316" t="s">
        <v>1425</v>
      </c>
      <c r="C3" s="1316"/>
      <c r="D3" s="1316"/>
      <c r="E3" s="1316"/>
      <c r="F3" s="1316"/>
      <c r="G3" s="1316"/>
      <c r="H3" s="1316"/>
      <c r="I3" s="1316"/>
      <c r="J3" s="1316"/>
      <c r="K3" s="1316"/>
      <c r="L3" s="1316"/>
      <c r="M3" s="1316"/>
      <c r="N3" s="1316"/>
      <c r="O3" s="1316"/>
      <c r="P3" s="217"/>
      <c r="Q3" s="31"/>
      <c r="R3" s="31"/>
    </row>
    <row r="4" spans="1:18" ht="15.75" customHeight="1" x14ac:dyDescent="0.25">
      <c r="B4" s="1318" t="str">
        <f>'Summary of HV-LV Splits'!B4</f>
        <v>24-Month Forecast Period (January 1, 2025 - December 31, 2026)</v>
      </c>
      <c r="C4" s="1318"/>
      <c r="D4" s="1318"/>
      <c r="E4" s="1318"/>
      <c r="F4" s="1318"/>
      <c r="G4" s="1318"/>
      <c r="H4" s="1318"/>
      <c r="I4" s="1318"/>
      <c r="J4" s="1318"/>
      <c r="K4" s="1318"/>
      <c r="L4" s="1318"/>
      <c r="M4" s="1318"/>
      <c r="N4" s="1318"/>
      <c r="O4" s="1318"/>
      <c r="P4" s="217"/>
      <c r="Q4" s="31"/>
      <c r="R4" s="31"/>
    </row>
    <row r="5" spans="1:18" ht="15.75" customHeight="1" x14ac:dyDescent="0.25">
      <c r="B5" s="1316" t="s">
        <v>1446</v>
      </c>
      <c r="C5" s="1316"/>
      <c r="D5" s="1316"/>
      <c r="E5" s="1316"/>
      <c r="F5" s="1316"/>
      <c r="G5" s="1316"/>
      <c r="H5" s="1316"/>
      <c r="I5" s="1316"/>
      <c r="J5" s="1316"/>
      <c r="K5" s="1316"/>
      <c r="L5" s="1316"/>
      <c r="M5" s="1316"/>
      <c r="N5" s="1316"/>
      <c r="O5" s="1316"/>
      <c r="P5" s="217"/>
      <c r="Q5" s="31"/>
      <c r="R5" s="31"/>
    </row>
    <row r="6" spans="1:18" x14ac:dyDescent="0.25">
      <c r="B6" s="1342">
        <v>-1000</v>
      </c>
      <c r="C6" s="1342"/>
      <c r="D6" s="1342"/>
      <c r="E6" s="1342"/>
      <c r="F6" s="1342"/>
      <c r="G6" s="1342"/>
      <c r="H6" s="1342"/>
      <c r="I6" s="1342"/>
      <c r="J6" s="1342"/>
      <c r="K6" s="1342"/>
      <c r="L6" s="1342"/>
      <c r="M6" s="1342"/>
      <c r="N6" s="1342"/>
      <c r="O6" s="1342"/>
      <c r="P6" s="416"/>
      <c r="Q6" s="31"/>
      <c r="R6" s="31"/>
    </row>
    <row r="7" spans="1:18" ht="16.5" thickBot="1" x14ac:dyDescent="0.3">
      <c r="B7" s="31"/>
      <c r="C7" s="31"/>
      <c r="D7" s="31"/>
      <c r="E7" s="31"/>
      <c r="F7" s="31"/>
      <c r="G7" s="31"/>
      <c r="H7" s="31"/>
      <c r="I7" s="31"/>
      <c r="J7" s="31"/>
      <c r="K7" s="31"/>
      <c r="L7" s="4"/>
      <c r="M7" s="31"/>
      <c r="N7" s="31"/>
      <c r="O7" s="31"/>
      <c r="Q7" s="31"/>
      <c r="R7" s="31"/>
    </row>
    <row r="8" spans="1:18" ht="18.75" x14ac:dyDescent="0.25">
      <c r="A8" s="4" t="s">
        <v>5</v>
      </c>
      <c r="B8" s="230"/>
      <c r="C8" s="1359" t="s">
        <v>1427</v>
      </c>
      <c r="D8" s="1360"/>
      <c r="E8" s="1361"/>
      <c r="F8" s="1359" t="s">
        <v>1428</v>
      </c>
      <c r="G8" s="1360"/>
      <c r="H8" s="1361"/>
      <c r="I8" s="1359" t="s">
        <v>1429</v>
      </c>
      <c r="J8" s="1360"/>
      <c r="K8" s="1361"/>
      <c r="L8" s="230" t="s">
        <v>1430</v>
      </c>
      <c r="M8" s="1359" t="s">
        <v>1431</v>
      </c>
      <c r="N8" s="1360"/>
      <c r="O8" s="1361"/>
      <c r="P8" s="4" t="s">
        <v>5</v>
      </c>
      <c r="Q8" s="1"/>
      <c r="R8" s="1"/>
    </row>
    <row r="9" spans="1:18" ht="16.5" thickBot="1" x14ac:dyDescent="0.3">
      <c r="A9" s="4" t="s">
        <v>6</v>
      </c>
      <c r="B9" s="529" t="s">
        <v>1432</v>
      </c>
      <c r="C9" s="530" t="s">
        <v>1400</v>
      </c>
      <c r="D9" s="531" t="s">
        <v>1401</v>
      </c>
      <c r="E9" s="533" t="s">
        <v>180</v>
      </c>
      <c r="F9" s="534" t="s">
        <v>1400</v>
      </c>
      <c r="G9" s="531" t="s">
        <v>1401</v>
      </c>
      <c r="H9" s="532" t="s">
        <v>180</v>
      </c>
      <c r="I9" s="530" t="s">
        <v>1400</v>
      </c>
      <c r="J9" s="531" t="s">
        <v>1401</v>
      </c>
      <c r="K9" s="532" t="s">
        <v>180</v>
      </c>
      <c r="L9" s="529" t="s">
        <v>1433</v>
      </c>
      <c r="M9" s="534" t="s">
        <v>1400</v>
      </c>
      <c r="N9" s="531" t="s">
        <v>1401</v>
      </c>
      <c r="O9" s="533" t="s">
        <v>180</v>
      </c>
      <c r="P9" s="4" t="s">
        <v>6</v>
      </c>
      <c r="Q9" s="1"/>
      <c r="R9" s="1"/>
    </row>
    <row r="10" spans="1:18" x14ac:dyDescent="0.25">
      <c r="A10" s="217"/>
      <c r="B10" s="535"/>
      <c r="C10" s="536"/>
      <c r="D10" s="269"/>
      <c r="E10" s="1075"/>
      <c r="F10" s="273"/>
      <c r="G10" s="269"/>
      <c r="H10" s="297"/>
      <c r="I10" s="536"/>
      <c r="J10" s="269"/>
      <c r="K10" s="297"/>
      <c r="L10" s="558"/>
      <c r="M10" s="273"/>
      <c r="N10" s="269"/>
      <c r="O10" s="1075"/>
      <c r="P10" s="217"/>
      <c r="Q10" s="1"/>
      <c r="R10" s="1"/>
    </row>
    <row r="11" spans="1:18" x14ac:dyDescent="0.25">
      <c r="A11" s="4">
        <v>1</v>
      </c>
      <c r="B11" s="539">
        <f>'ET Forecast Capital Additions'!B11</f>
        <v>45679</v>
      </c>
      <c r="C11" s="174">
        <v>202</v>
      </c>
      <c r="D11" s="673">
        <v>271</v>
      </c>
      <c r="E11" s="592">
        <f t="shared" ref="E11:E34" si="0">C11+D11</f>
        <v>473</v>
      </c>
      <c r="F11" s="58">
        <f>C11*$H$41</f>
        <v>0.37218874164875976</v>
      </c>
      <c r="G11" s="231">
        <f>D11*$H$41</f>
        <v>0.49932251973670244</v>
      </c>
      <c r="H11" s="119">
        <f t="shared" ref="H11:H25" si="1">F11+G11</f>
        <v>0.8715112613854622</v>
      </c>
      <c r="I11" s="175">
        <f t="shared" ref="I11:I34" si="2">C11-F11</f>
        <v>201.62781125835124</v>
      </c>
      <c r="J11" s="231">
        <f t="shared" ref="J11:J34" si="3">D11-G11</f>
        <v>270.50067748026328</v>
      </c>
      <c r="K11" s="119">
        <f t="shared" ref="K11:K34" si="4">I11+J11</f>
        <v>472.12848873861452</v>
      </c>
      <c r="L11" s="241">
        <f>'ET Forecast Capital Additions'!$L11</f>
        <v>1</v>
      </c>
      <c r="M11" s="58">
        <f t="shared" ref="M11:M34" si="5">I11*$L11</f>
        <v>201.62781125835124</v>
      </c>
      <c r="N11" s="231">
        <f t="shared" ref="N11:N34" si="6">J11*$L11</f>
        <v>270.50067748026328</v>
      </c>
      <c r="O11" s="592">
        <f t="shared" ref="O11:O34" si="7">M11+N11</f>
        <v>472.12848873861452</v>
      </c>
      <c r="P11" s="4">
        <f>A11</f>
        <v>1</v>
      </c>
      <c r="Q11" s="1"/>
      <c r="R11" s="31"/>
    </row>
    <row r="12" spans="1:18" x14ac:dyDescent="0.25">
      <c r="A12" s="4">
        <f t="shared" ref="A12:A49" si="8">A11+1</f>
        <v>2</v>
      </c>
      <c r="B12" s="539">
        <f>'ET Forecast Capital Additions'!B12</f>
        <v>45710</v>
      </c>
      <c r="C12" s="176">
        <v>23</v>
      </c>
      <c r="D12" s="674">
        <v>31</v>
      </c>
      <c r="E12" s="573">
        <f t="shared" si="0"/>
        <v>54</v>
      </c>
      <c r="F12" s="52">
        <f t="shared" ref="F12:F34" si="9">C12*$H$41</f>
        <v>4.2377926029314228E-2</v>
      </c>
      <c r="G12" s="232">
        <f t="shared" ref="G12:G34" si="10">D12*$H$41</f>
        <v>5.7118074213423527E-2</v>
      </c>
      <c r="H12" s="124">
        <f t="shared" si="1"/>
        <v>9.9496000242737748E-2</v>
      </c>
      <c r="I12" s="177">
        <f t="shared" si="2"/>
        <v>22.957622073970686</v>
      </c>
      <c r="J12" s="232">
        <f t="shared" si="3"/>
        <v>30.942881925786576</v>
      </c>
      <c r="K12" s="124">
        <f t="shared" si="4"/>
        <v>53.900503999757262</v>
      </c>
      <c r="L12" s="241">
        <f>'ET Forecast Capital Additions'!$L12</f>
        <v>1</v>
      </c>
      <c r="M12" s="52">
        <f t="shared" si="5"/>
        <v>22.957622073970686</v>
      </c>
      <c r="N12" s="232">
        <f t="shared" si="6"/>
        <v>30.942881925786576</v>
      </c>
      <c r="O12" s="573">
        <f t="shared" si="7"/>
        <v>53.900503999757262</v>
      </c>
      <c r="P12" s="4">
        <f t="shared" ref="P12:P27" si="11">P11+1</f>
        <v>2</v>
      </c>
      <c r="Q12" s="31"/>
      <c r="R12" s="31"/>
    </row>
    <row r="13" spans="1:18" x14ac:dyDescent="0.25">
      <c r="A13" s="4">
        <f t="shared" si="8"/>
        <v>3</v>
      </c>
      <c r="B13" s="539">
        <f>'ET Forecast Capital Additions'!B13</f>
        <v>45738</v>
      </c>
      <c r="C13" s="176">
        <v>27</v>
      </c>
      <c r="D13" s="674">
        <v>36</v>
      </c>
      <c r="E13" s="573">
        <f t="shared" si="0"/>
        <v>63</v>
      </c>
      <c r="F13" s="52">
        <f t="shared" si="9"/>
        <v>4.9748000121368881E-2</v>
      </c>
      <c r="G13" s="232">
        <f t="shared" si="10"/>
        <v>6.6330666828491841E-2</v>
      </c>
      <c r="H13" s="124">
        <f t="shared" si="1"/>
        <v>0.11607866694986071</v>
      </c>
      <c r="I13" s="177">
        <f t="shared" si="2"/>
        <v>26.950251999878631</v>
      </c>
      <c r="J13" s="232">
        <f t="shared" si="3"/>
        <v>35.933669333171508</v>
      </c>
      <c r="K13" s="124">
        <f t="shared" si="4"/>
        <v>62.883921333050139</v>
      </c>
      <c r="L13" s="241">
        <f>'ET Forecast Capital Additions'!$L13</f>
        <v>1</v>
      </c>
      <c r="M13" s="52">
        <f t="shared" si="5"/>
        <v>26.950251999878631</v>
      </c>
      <c r="N13" s="232">
        <f t="shared" si="6"/>
        <v>35.933669333171508</v>
      </c>
      <c r="O13" s="573">
        <f t="shared" si="7"/>
        <v>62.883921333050139</v>
      </c>
      <c r="P13" s="4">
        <f t="shared" si="11"/>
        <v>3</v>
      </c>
      <c r="Q13" s="31"/>
      <c r="R13" s="31"/>
    </row>
    <row r="14" spans="1:18" ht="16.5" thickBot="1" x14ac:dyDescent="0.3">
      <c r="A14" s="4">
        <f t="shared" si="8"/>
        <v>4</v>
      </c>
      <c r="B14" s="540">
        <f>'ET Forecast Capital Additions'!B14</f>
        <v>45769</v>
      </c>
      <c r="C14" s="178">
        <v>6</v>
      </c>
      <c r="D14" s="207">
        <v>8</v>
      </c>
      <c r="E14" s="182">
        <f t="shared" si="0"/>
        <v>14</v>
      </c>
      <c r="F14" s="183">
        <f t="shared" si="9"/>
        <v>1.1055111138081972E-2</v>
      </c>
      <c r="G14" s="181">
        <f t="shared" si="10"/>
        <v>1.4740148184109297E-2</v>
      </c>
      <c r="H14" s="179">
        <f t="shared" si="1"/>
        <v>2.5795259322191268E-2</v>
      </c>
      <c r="I14" s="180">
        <f t="shared" si="2"/>
        <v>5.9889448888619183</v>
      </c>
      <c r="J14" s="181">
        <f t="shared" si="3"/>
        <v>7.9852598518158908</v>
      </c>
      <c r="K14" s="179">
        <f t="shared" si="4"/>
        <v>13.974204740677809</v>
      </c>
      <c r="L14" s="242">
        <f>'ET Forecast Capital Additions'!$L14</f>
        <v>1</v>
      </c>
      <c r="M14" s="183">
        <f t="shared" si="5"/>
        <v>5.9889448888619183</v>
      </c>
      <c r="N14" s="181">
        <f t="shared" si="6"/>
        <v>7.9852598518158908</v>
      </c>
      <c r="O14" s="182">
        <f t="shared" si="7"/>
        <v>13.974204740677809</v>
      </c>
      <c r="P14" s="4">
        <f t="shared" si="11"/>
        <v>4</v>
      </c>
      <c r="Q14" s="31"/>
      <c r="R14" s="31"/>
    </row>
    <row r="15" spans="1:18" x14ac:dyDescent="0.25">
      <c r="A15" s="4">
        <f t="shared" si="8"/>
        <v>5</v>
      </c>
      <c r="B15" s="539">
        <f>'ET Forecast Capital Additions'!B15</f>
        <v>45799</v>
      </c>
      <c r="C15" s="208">
        <v>6</v>
      </c>
      <c r="D15" s="184">
        <v>8</v>
      </c>
      <c r="E15" s="123">
        <f t="shared" si="0"/>
        <v>14</v>
      </c>
      <c r="F15" s="186">
        <f t="shared" si="9"/>
        <v>1.1055111138081972E-2</v>
      </c>
      <c r="G15" s="128">
        <f t="shared" si="10"/>
        <v>1.4740148184109297E-2</v>
      </c>
      <c r="H15" s="122">
        <f t="shared" si="1"/>
        <v>2.5795259322191268E-2</v>
      </c>
      <c r="I15" s="185">
        <f t="shared" si="2"/>
        <v>5.9889448888619183</v>
      </c>
      <c r="J15" s="128">
        <f t="shared" si="3"/>
        <v>7.9852598518158908</v>
      </c>
      <c r="K15" s="122">
        <f t="shared" si="4"/>
        <v>13.974204740677809</v>
      </c>
      <c r="L15" s="243">
        <f>'ET Forecast Capital Additions'!$L15</f>
        <v>1</v>
      </c>
      <c r="M15" s="186">
        <f t="shared" si="5"/>
        <v>5.9889448888619183</v>
      </c>
      <c r="N15" s="128">
        <f t="shared" si="6"/>
        <v>7.9852598518158908</v>
      </c>
      <c r="O15" s="123">
        <f t="shared" si="7"/>
        <v>13.974204740677809</v>
      </c>
      <c r="P15" s="4">
        <f t="shared" si="11"/>
        <v>5</v>
      </c>
      <c r="Q15" s="31"/>
      <c r="R15" s="31"/>
    </row>
    <row r="16" spans="1:18" x14ac:dyDescent="0.25">
      <c r="A16" s="4">
        <f t="shared" si="8"/>
        <v>6</v>
      </c>
      <c r="B16" s="539">
        <f>'ET Forecast Capital Additions'!B16</f>
        <v>45830</v>
      </c>
      <c r="C16" s="209">
        <v>89</v>
      </c>
      <c r="D16" s="674">
        <v>119</v>
      </c>
      <c r="E16" s="127">
        <f t="shared" si="0"/>
        <v>208</v>
      </c>
      <c r="F16" s="6">
        <f t="shared" si="9"/>
        <v>0.16398414854821594</v>
      </c>
      <c r="G16" s="232">
        <f t="shared" si="10"/>
        <v>0.21925970423862579</v>
      </c>
      <c r="H16" s="6">
        <f t="shared" si="1"/>
        <v>0.3832438527868417</v>
      </c>
      <c r="I16" s="210">
        <f t="shared" si="2"/>
        <v>88.836015851451791</v>
      </c>
      <c r="J16" s="232">
        <f t="shared" si="3"/>
        <v>118.78074029576138</v>
      </c>
      <c r="K16" s="6">
        <f t="shared" si="4"/>
        <v>207.61675614721315</v>
      </c>
      <c r="L16" s="241">
        <f>'ET Forecast Capital Additions'!$L16</f>
        <v>1</v>
      </c>
      <c r="M16" s="6">
        <f t="shared" si="5"/>
        <v>88.836015851451791</v>
      </c>
      <c r="N16" s="232">
        <f t="shared" si="6"/>
        <v>118.78074029576138</v>
      </c>
      <c r="O16" s="127">
        <f t="shared" si="7"/>
        <v>207.61675614721315</v>
      </c>
      <c r="P16" s="4">
        <f t="shared" si="11"/>
        <v>6</v>
      </c>
      <c r="Q16" s="31"/>
      <c r="R16" s="31"/>
    </row>
    <row r="17" spans="1:18" x14ac:dyDescent="0.25">
      <c r="A17" s="4">
        <f t="shared" si="8"/>
        <v>7</v>
      </c>
      <c r="B17" s="539">
        <f>'ET Forecast Capital Additions'!B17</f>
        <v>45860</v>
      </c>
      <c r="C17" s="176">
        <v>94</v>
      </c>
      <c r="D17" s="674">
        <v>126</v>
      </c>
      <c r="E17" s="573">
        <f t="shared" si="0"/>
        <v>220</v>
      </c>
      <c r="F17" s="52">
        <f t="shared" si="9"/>
        <v>0.17319674116328423</v>
      </c>
      <c r="G17" s="232">
        <f t="shared" si="10"/>
        <v>0.23215733389972143</v>
      </c>
      <c r="H17" s="124">
        <f t="shared" si="1"/>
        <v>0.40535407506300569</v>
      </c>
      <c r="I17" s="177">
        <f t="shared" si="2"/>
        <v>93.826803258836719</v>
      </c>
      <c r="J17" s="232">
        <f t="shared" si="3"/>
        <v>125.76784266610028</v>
      </c>
      <c r="K17" s="124">
        <f t="shared" si="4"/>
        <v>219.594645924937</v>
      </c>
      <c r="L17" s="241">
        <f>'ET Forecast Capital Additions'!$L17</f>
        <v>1</v>
      </c>
      <c r="M17" s="52">
        <f t="shared" si="5"/>
        <v>93.826803258836719</v>
      </c>
      <c r="N17" s="232">
        <f t="shared" si="6"/>
        <v>125.76784266610028</v>
      </c>
      <c r="O17" s="573">
        <f t="shared" si="7"/>
        <v>219.594645924937</v>
      </c>
      <c r="P17" s="4">
        <f t="shared" si="11"/>
        <v>7</v>
      </c>
      <c r="Q17" s="31"/>
      <c r="R17" s="31"/>
    </row>
    <row r="18" spans="1:18" ht="16.5" thickBot="1" x14ac:dyDescent="0.3">
      <c r="A18" s="4">
        <f t="shared" si="8"/>
        <v>8</v>
      </c>
      <c r="B18" s="540">
        <f>'ET Forecast Capital Additions'!B18</f>
        <v>45891</v>
      </c>
      <c r="C18" s="178">
        <v>942</v>
      </c>
      <c r="D18" s="207">
        <v>1265</v>
      </c>
      <c r="E18" s="182">
        <f t="shared" si="0"/>
        <v>2207</v>
      </c>
      <c r="F18" s="183">
        <f t="shared" si="9"/>
        <v>1.7356524486788698</v>
      </c>
      <c r="G18" s="181">
        <f t="shared" si="10"/>
        <v>2.3307859316122825</v>
      </c>
      <c r="H18" s="179">
        <f t="shared" si="1"/>
        <v>4.0664383802911521</v>
      </c>
      <c r="I18" s="180">
        <f t="shared" si="2"/>
        <v>940.26434755132118</v>
      </c>
      <c r="J18" s="181">
        <f t="shared" si="3"/>
        <v>1262.6692140683876</v>
      </c>
      <c r="K18" s="179">
        <f t="shared" si="4"/>
        <v>2202.9335616197086</v>
      </c>
      <c r="L18" s="242">
        <f>'ET Forecast Capital Additions'!$L18</f>
        <v>1</v>
      </c>
      <c r="M18" s="183">
        <f t="shared" si="5"/>
        <v>940.26434755132118</v>
      </c>
      <c r="N18" s="181">
        <f t="shared" si="6"/>
        <v>1262.6692140683876</v>
      </c>
      <c r="O18" s="182">
        <f t="shared" si="7"/>
        <v>2202.9335616197086</v>
      </c>
      <c r="P18" s="4">
        <f t="shared" si="11"/>
        <v>8</v>
      </c>
      <c r="Q18" s="31"/>
      <c r="R18" s="31"/>
    </row>
    <row r="19" spans="1:18" x14ac:dyDescent="0.25">
      <c r="A19" s="4">
        <f t="shared" si="8"/>
        <v>9</v>
      </c>
      <c r="B19" s="539">
        <f>'ET Forecast Capital Additions'!B19</f>
        <v>45922</v>
      </c>
      <c r="C19" s="208">
        <v>309</v>
      </c>
      <c r="D19" s="184">
        <v>415</v>
      </c>
      <c r="E19" s="123">
        <f t="shared" si="0"/>
        <v>724</v>
      </c>
      <c r="F19" s="186">
        <f t="shared" si="9"/>
        <v>0.56933822361122155</v>
      </c>
      <c r="G19" s="128">
        <f t="shared" si="10"/>
        <v>0.76464518705066975</v>
      </c>
      <c r="H19" s="122">
        <f t="shared" si="1"/>
        <v>1.3339834106618913</v>
      </c>
      <c r="I19" s="185">
        <f t="shared" si="2"/>
        <v>308.43066177638877</v>
      </c>
      <c r="J19" s="128">
        <f t="shared" si="3"/>
        <v>414.23535481294931</v>
      </c>
      <c r="K19" s="122">
        <f t="shared" si="4"/>
        <v>722.66601658933814</v>
      </c>
      <c r="L19" s="243">
        <f>'ET Forecast Capital Additions'!$L19</f>
        <v>1</v>
      </c>
      <c r="M19" s="186">
        <f t="shared" si="5"/>
        <v>308.43066177638877</v>
      </c>
      <c r="N19" s="128">
        <f t="shared" si="6"/>
        <v>414.23535481294931</v>
      </c>
      <c r="O19" s="123">
        <f t="shared" si="7"/>
        <v>722.66601658933814</v>
      </c>
      <c r="P19" s="4">
        <f t="shared" si="11"/>
        <v>9</v>
      </c>
      <c r="Q19" s="31"/>
      <c r="R19" s="31"/>
    </row>
    <row r="20" spans="1:18" x14ac:dyDescent="0.25">
      <c r="A20" s="4">
        <f t="shared" si="8"/>
        <v>10</v>
      </c>
      <c r="B20" s="539">
        <f>'ET Forecast Capital Additions'!B20</f>
        <v>45952</v>
      </c>
      <c r="C20" s="176">
        <v>5</v>
      </c>
      <c r="D20" s="674">
        <v>6</v>
      </c>
      <c r="E20" s="573">
        <f t="shared" si="0"/>
        <v>11</v>
      </c>
      <c r="F20" s="52">
        <f t="shared" si="9"/>
        <v>9.2125926150683109E-3</v>
      </c>
      <c r="G20" s="232">
        <f t="shared" si="10"/>
        <v>1.1055111138081972E-2</v>
      </c>
      <c r="H20" s="124">
        <f t="shared" si="1"/>
        <v>2.0267703753150283E-2</v>
      </c>
      <c r="I20" s="177">
        <f t="shared" si="2"/>
        <v>4.9907874073849321</v>
      </c>
      <c r="J20" s="232">
        <f t="shared" si="3"/>
        <v>5.9889448888619183</v>
      </c>
      <c r="K20" s="124">
        <f t="shared" si="4"/>
        <v>10.979732296246851</v>
      </c>
      <c r="L20" s="241">
        <f>'ET Forecast Capital Additions'!$L20</f>
        <v>1</v>
      </c>
      <c r="M20" s="52">
        <f t="shared" si="5"/>
        <v>4.9907874073849321</v>
      </c>
      <c r="N20" s="232">
        <f t="shared" si="6"/>
        <v>5.9889448888619183</v>
      </c>
      <c r="O20" s="573">
        <f t="shared" si="7"/>
        <v>10.979732296246851</v>
      </c>
      <c r="P20" s="4">
        <f t="shared" si="11"/>
        <v>10</v>
      </c>
      <c r="Q20" s="31"/>
      <c r="R20" s="31"/>
    </row>
    <row r="21" spans="1:18" x14ac:dyDescent="0.25">
      <c r="A21" s="4">
        <f t="shared" si="8"/>
        <v>11</v>
      </c>
      <c r="B21" s="539">
        <f>'ET Forecast Capital Additions'!B21</f>
        <v>45983</v>
      </c>
      <c r="C21" s="176">
        <v>11</v>
      </c>
      <c r="D21" s="674">
        <v>15</v>
      </c>
      <c r="E21" s="573">
        <f t="shared" si="0"/>
        <v>26</v>
      </c>
      <c r="F21" s="52">
        <f t="shared" si="9"/>
        <v>2.0267703753150283E-2</v>
      </c>
      <c r="G21" s="232">
        <f t="shared" si="10"/>
        <v>2.7637777845204933E-2</v>
      </c>
      <c r="H21" s="124">
        <f t="shared" si="1"/>
        <v>4.7905481598355212E-2</v>
      </c>
      <c r="I21" s="177">
        <f t="shared" si="2"/>
        <v>10.97973229624685</v>
      </c>
      <c r="J21" s="232">
        <f t="shared" si="3"/>
        <v>14.972362222154795</v>
      </c>
      <c r="K21" s="124">
        <f t="shared" si="4"/>
        <v>25.952094518401644</v>
      </c>
      <c r="L21" s="241">
        <f>'ET Forecast Capital Additions'!$L21</f>
        <v>1</v>
      </c>
      <c r="M21" s="52">
        <f t="shared" si="5"/>
        <v>10.97973229624685</v>
      </c>
      <c r="N21" s="232">
        <f t="shared" si="6"/>
        <v>14.972362222154795</v>
      </c>
      <c r="O21" s="573">
        <f t="shared" si="7"/>
        <v>25.952094518401644</v>
      </c>
      <c r="P21" s="4">
        <f t="shared" si="11"/>
        <v>11</v>
      </c>
      <c r="Q21" s="31"/>
      <c r="R21" s="31"/>
    </row>
    <row r="22" spans="1:18" ht="16.5" thickBot="1" x14ac:dyDescent="0.3">
      <c r="A22" s="4">
        <f t="shared" si="8"/>
        <v>12</v>
      </c>
      <c r="B22" s="540">
        <f>'ET Forecast Capital Additions'!B22</f>
        <v>46013</v>
      </c>
      <c r="C22" s="211">
        <v>1342</v>
      </c>
      <c r="D22" s="207">
        <v>1802</v>
      </c>
      <c r="E22" s="212">
        <f t="shared" si="0"/>
        <v>3144</v>
      </c>
      <c r="F22" s="892">
        <f t="shared" si="9"/>
        <v>2.4726598578843344</v>
      </c>
      <c r="G22" s="181">
        <f t="shared" si="10"/>
        <v>3.320218378470619</v>
      </c>
      <c r="H22" s="892">
        <f t="shared" si="1"/>
        <v>5.7928782363549534</v>
      </c>
      <c r="I22" s="213">
        <f t="shared" si="2"/>
        <v>1339.5273401421157</v>
      </c>
      <c r="J22" s="181">
        <f t="shared" si="3"/>
        <v>1798.6797816215294</v>
      </c>
      <c r="K22" s="892">
        <f t="shared" si="4"/>
        <v>3138.2071217636449</v>
      </c>
      <c r="L22" s="242">
        <f>'ET Forecast Capital Additions'!$L22</f>
        <v>1</v>
      </c>
      <c r="M22" s="892">
        <f t="shared" si="5"/>
        <v>1339.5273401421157</v>
      </c>
      <c r="N22" s="181">
        <f t="shared" si="6"/>
        <v>1798.6797816215294</v>
      </c>
      <c r="O22" s="212">
        <f t="shared" si="7"/>
        <v>3138.2071217636449</v>
      </c>
      <c r="P22" s="4">
        <f t="shared" si="11"/>
        <v>12</v>
      </c>
      <c r="Q22" s="31"/>
      <c r="R22" s="31"/>
    </row>
    <row r="23" spans="1:18" x14ac:dyDescent="0.25">
      <c r="A23" s="4">
        <f t="shared" si="8"/>
        <v>13</v>
      </c>
      <c r="B23" s="539">
        <f>'ET Forecast Capital Additions'!B23</f>
        <v>46044</v>
      </c>
      <c r="C23" s="208">
        <v>157</v>
      </c>
      <c r="D23" s="184">
        <v>211</v>
      </c>
      <c r="E23" s="123">
        <f t="shared" si="0"/>
        <v>368</v>
      </c>
      <c r="F23" s="186">
        <f t="shared" si="9"/>
        <v>0.28927540811314495</v>
      </c>
      <c r="G23" s="128">
        <f t="shared" si="10"/>
        <v>0.3887714083558827</v>
      </c>
      <c r="H23" s="122">
        <f t="shared" si="1"/>
        <v>0.67804681646902765</v>
      </c>
      <c r="I23" s="185">
        <f t="shared" si="2"/>
        <v>156.71072459188684</v>
      </c>
      <c r="J23" s="128">
        <f t="shared" si="3"/>
        <v>210.61122859164411</v>
      </c>
      <c r="K23" s="122">
        <f t="shared" si="4"/>
        <v>367.32195318353092</v>
      </c>
      <c r="L23" s="243">
        <f>'ET Forecast Capital Additions'!$L23</f>
        <v>1</v>
      </c>
      <c r="M23" s="186">
        <f t="shared" si="5"/>
        <v>156.71072459188684</v>
      </c>
      <c r="N23" s="128">
        <f t="shared" si="6"/>
        <v>210.61122859164411</v>
      </c>
      <c r="O23" s="123">
        <f t="shared" si="7"/>
        <v>367.32195318353092</v>
      </c>
      <c r="P23" s="4">
        <f t="shared" si="11"/>
        <v>13</v>
      </c>
      <c r="Q23" s="31"/>
      <c r="R23" s="31"/>
    </row>
    <row r="24" spans="1:18" x14ac:dyDescent="0.25">
      <c r="A24" s="4">
        <f t="shared" si="8"/>
        <v>14</v>
      </c>
      <c r="B24" s="539">
        <f>'ET Forecast Capital Additions'!B24</f>
        <v>46075</v>
      </c>
      <c r="C24" s="176">
        <v>172</v>
      </c>
      <c r="D24" s="674">
        <v>232</v>
      </c>
      <c r="E24" s="573">
        <f t="shared" si="0"/>
        <v>404</v>
      </c>
      <c r="F24" s="52">
        <f t="shared" si="9"/>
        <v>0.31691318595834989</v>
      </c>
      <c r="G24" s="232">
        <f t="shared" si="10"/>
        <v>0.42746429733916963</v>
      </c>
      <c r="H24" s="124">
        <f t="shared" si="1"/>
        <v>0.74437748329751952</v>
      </c>
      <c r="I24" s="177">
        <f t="shared" si="2"/>
        <v>171.68308681404164</v>
      </c>
      <c r="J24" s="232">
        <f t="shared" si="3"/>
        <v>231.57253570266084</v>
      </c>
      <c r="K24" s="124">
        <f t="shared" si="4"/>
        <v>403.25562251670249</v>
      </c>
      <c r="L24" s="241">
        <f>'ET Forecast Capital Additions'!$L24</f>
        <v>0.91666666666666663</v>
      </c>
      <c r="M24" s="52">
        <f t="shared" si="5"/>
        <v>157.37616291287151</v>
      </c>
      <c r="N24" s="232">
        <f t="shared" si="6"/>
        <v>212.27482439410576</v>
      </c>
      <c r="O24" s="573">
        <f t="shared" si="7"/>
        <v>369.6509873069773</v>
      </c>
      <c r="P24" s="4">
        <f t="shared" si="11"/>
        <v>14</v>
      </c>
      <c r="Q24" s="31"/>
      <c r="R24" s="427"/>
    </row>
    <row r="25" spans="1:18" x14ac:dyDescent="0.25">
      <c r="A25" s="4">
        <f t="shared" si="8"/>
        <v>15</v>
      </c>
      <c r="B25" s="539">
        <f>'ET Forecast Capital Additions'!B25</f>
        <v>46103</v>
      </c>
      <c r="C25" s="176">
        <v>0</v>
      </c>
      <c r="D25" s="674">
        <v>0</v>
      </c>
      <c r="E25" s="573">
        <f t="shared" si="0"/>
        <v>0</v>
      </c>
      <c r="F25" s="52">
        <f t="shared" si="9"/>
        <v>0</v>
      </c>
      <c r="G25" s="232">
        <f t="shared" si="10"/>
        <v>0</v>
      </c>
      <c r="H25" s="124">
        <f t="shared" si="1"/>
        <v>0</v>
      </c>
      <c r="I25" s="177">
        <f t="shared" si="2"/>
        <v>0</v>
      </c>
      <c r="J25" s="232">
        <f t="shared" si="3"/>
        <v>0</v>
      </c>
      <c r="K25" s="124">
        <f t="shared" si="4"/>
        <v>0</v>
      </c>
      <c r="L25" s="241">
        <f>'ET Forecast Capital Additions'!$L25</f>
        <v>0.83333333333333337</v>
      </c>
      <c r="M25" s="52">
        <f t="shared" si="5"/>
        <v>0</v>
      </c>
      <c r="N25" s="232">
        <f t="shared" si="6"/>
        <v>0</v>
      </c>
      <c r="O25" s="573">
        <f t="shared" si="7"/>
        <v>0</v>
      </c>
      <c r="P25" s="4">
        <f t="shared" si="11"/>
        <v>15</v>
      </c>
      <c r="Q25" s="31"/>
      <c r="R25" s="427"/>
    </row>
    <row r="26" spans="1:18" ht="16.5" thickBot="1" x14ac:dyDescent="0.3">
      <c r="A26" s="4">
        <f t="shared" si="8"/>
        <v>16</v>
      </c>
      <c r="B26" s="540">
        <f>'ET Forecast Capital Additions'!B26</f>
        <v>46134</v>
      </c>
      <c r="C26" s="178">
        <v>-2</v>
      </c>
      <c r="D26" s="207">
        <v>-3</v>
      </c>
      <c r="E26" s="182">
        <f t="shared" si="0"/>
        <v>-5</v>
      </c>
      <c r="F26" s="183">
        <f t="shared" si="9"/>
        <v>-3.6850370460273243E-3</v>
      </c>
      <c r="G26" s="181">
        <f t="shared" si="10"/>
        <v>-5.5275555690409862E-3</v>
      </c>
      <c r="H26" s="179">
        <f t="shared" ref="H26" si="12">F26+G26</f>
        <v>-9.2125926150683109E-3</v>
      </c>
      <c r="I26" s="180">
        <f t="shared" si="2"/>
        <v>-1.9963149629539727</v>
      </c>
      <c r="J26" s="181">
        <f t="shared" si="3"/>
        <v>-2.9944724444309592</v>
      </c>
      <c r="K26" s="179">
        <f t="shared" si="4"/>
        <v>-4.9907874073849321</v>
      </c>
      <c r="L26" s="242">
        <f>'ET Forecast Capital Additions'!$L26</f>
        <v>0.75</v>
      </c>
      <c r="M26" s="183">
        <f t="shared" si="5"/>
        <v>-1.4972362222154796</v>
      </c>
      <c r="N26" s="181">
        <f t="shared" si="6"/>
        <v>-2.2458543333232193</v>
      </c>
      <c r="O26" s="182">
        <f t="shared" si="7"/>
        <v>-3.7430905555386991</v>
      </c>
      <c r="P26" s="4">
        <f t="shared" si="11"/>
        <v>16</v>
      </c>
      <c r="Q26" s="31"/>
      <c r="R26" s="427"/>
    </row>
    <row r="27" spans="1:18" x14ac:dyDescent="0.25">
      <c r="A27" s="4">
        <f t="shared" si="8"/>
        <v>17</v>
      </c>
      <c r="B27" s="539">
        <f>'ET Forecast Capital Additions'!B27</f>
        <v>46164</v>
      </c>
      <c r="C27" s="208">
        <v>7</v>
      </c>
      <c r="D27" s="184">
        <v>9</v>
      </c>
      <c r="E27" s="123">
        <f t="shared" si="0"/>
        <v>16</v>
      </c>
      <c r="F27" s="186">
        <f t="shared" si="9"/>
        <v>1.2897629661095636E-2</v>
      </c>
      <c r="G27" s="128">
        <f t="shared" si="10"/>
        <v>1.658266670712296E-2</v>
      </c>
      <c r="H27" s="122">
        <f t="shared" ref="H27:H34" si="13">F27+G27</f>
        <v>2.9480296368218598E-2</v>
      </c>
      <c r="I27" s="185">
        <f t="shared" si="2"/>
        <v>6.9871023703389046</v>
      </c>
      <c r="J27" s="128">
        <f t="shared" si="3"/>
        <v>8.9834173332928771</v>
      </c>
      <c r="K27" s="122">
        <f t="shared" si="4"/>
        <v>15.970519703631782</v>
      </c>
      <c r="L27" s="243">
        <f>'ET Forecast Capital Additions'!$L27</f>
        <v>0.66666666666666663</v>
      </c>
      <c r="M27" s="186">
        <f t="shared" si="5"/>
        <v>4.6580682468926025</v>
      </c>
      <c r="N27" s="128">
        <f t="shared" si="6"/>
        <v>5.9889448888619174</v>
      </c>
      <c r="O27" s="123">
        <f t="shared" si="7"/>
        <v>10.64701313575452</v>
      </c>
      <c r="P27" s="4">
        <f t="shared" si="11"/>
        <v>17</v>
      </c>
      <c r="Q27" s="31"/>
      <c r="R27" s="427"/>
    </row>
    <row r="28" spans="1:18" x14ac:dyDescent="0.25">
      <c r="A28" s="4">
        <f t="shared" si="8"/>
        <v>18</v>
      </c>
      <c r="B28" s="539">
        <f>'ET Forecast Capital Additions'!B28</f>
        <v>46195</v>
      </c>
      <c r="C28" s="176">
        <v>33</v>
      </c>
      <c r="D28" s="674">
        <v>44</v>
      </c>
      <c r="E28" s="573">
        <f t="shared" si="0"/>
        <v>77</v>
      </c>
      <c r="F28" s="52">
        <f t="shared" si="9"/>
        <v>6.080311125945085E-2</v>
      </c>
      <c r="G28" s="232">
        <f t="shared" si="10"/>
        <v>8.1070815012601133E-2</v>
      </c>
      <c r="H28" s="124">
        <f t="shared" si="13"/>
        <v>0.14187392627205198</v>
      </c>
      <c r="I28" s="177">
        <f t="shared" si="2"/>
        <v>32.939196888740547</v>
      </c>
      <c r="J28" s="232">
        <f t="shared" si="3"/>
        <v>43.918929184987398</v>
      </c>
      <c r="K28" s="124">
        <f t="shared" si="4"/>
        <v>76.858126073727945</v>
      </c>
      <c r="L28" s="241">
        <f>'ET Forecast Capital Additions'!$L28</f>
        <v>0.58333333333333337</v>
      </c>
      <c r="M28" s="52">
        <f t="shared" si="5"/>
        <v>19.214531518431986</v>
      </c>
      <c r="N28" s="232">
        <f t="shared" si="6"/>
        <v>25.619375357909316</v>
      </c>
      <c r="O28" s="573">
        <f t="shared" si="7"/>
        <v>44.833906876341302</v>
      </c>
      <c r="P28" s="4">
        <f t="shared" ref="P28:P35" si="14">P27+1</f>
        <v>18</v>
      </c>
      <c r="Q28" s="31"/>
      <c r="R28" s="427"/>
    </row>
    <row r="29" spans="1:18" x14ac:dyDescent="0.25">
      <c r="A29" s="4">
        <f t="shared" si="8"/>
        <v>19</v>
      </c>
      <c r="B29" s="539">
        <f>'ET Forecast Capital Additions'!B29</f>
        <v>46225</v>
      </c>
      <c r="C29" s="176">
        <v>1</v>
      </c>
      <c r="D29" s="674">
        <v>2</v>
      </c>
      <c r="E29" s="573">
        <f t="shared" si="0"/>
        <v>3</v>
      </c>
      <c r="F29" s="52">
        <f t="shared" si="9"/>
        <v>1.8425185230136621E-3</v>
      </c>
      <c r="G29" s="232">
        <f t="shared" si="10"/>
        <v>3.6850370460273243E-3</v>
      </c>
      <c r="H29" s="124">
        <f t="shared" si="13"/>
        <v>5.5275555690409862E-3</v>
      </c>
      <c r="I29" s="177">
        <f t="shared" si="2"/>
        <v>0.99815748147698635</v>
      </c>
      <c r="J29" s="232">
        <f t="shared" si="3"/>
        <v>1.9963149629539727</v>
      </c>
      <c r="K29" s="124">
        <f t="shared" si="4"/>
        <v>2.9944724444309592</v>
      </c>
      <c r="L29" s="241">
        <f>'ET Forecast Capital Additions'!$L29</f>
        <v>0.5</v>
      </c>
      <c r="M29" s="52">
        <f t="shared" si="5"/>
        <v>0.49907874073849318</v>
      </c>
      <c r="N29" s="232">
        <f t="shared" si="6"/>
        <v>0.99815748147698635</v>
      </c>
      <c r="O29" s="573">
        <f t="shared" si="7"/>
        <v>1.4972362222154796</v>
      </c>
      <c r="P29" s="4">
        <f t="shared" si="14"/>
        <v>19</v>
      </c>
      <c r="Q29" s="31"/>
      <c r="R29" s="427"/>
    </row>
    <row r="30" spans="1:18" ht="16.5" thickBot="1" x14ac:dyDescent="0.3">
      <c r="A30" s="4">
        <f t="shared" si="8"/>
        <v>20</v>
      </c>
      <c r="B30" s="540">
        <f>'ET Forecast Capital Additions'!B30</f>
        <v>46256</v>
      </c>
      <c r="C30" s="178">
        <v>14</v>
      </c>
      <c r="D30" s="207">
        <v>19</v>
      </c>
      <c r="E30" s="182">
        <f t="shared" si="0"/>
        <v>33</v>
      </c>
      <c r="F30" s="183">
        <f t="shared" si="9"/>
        <v>2.5795259322191271E-2</v>
      </c>
      <c r="G30" s="181">
        <f t="shared" si="10"/>
        <v>3.5007851937259582E-2</v>
      </c>
      <c r="H30" s="179">
        <f t="shared" si="13"/>
        <v>6.0803111259450857E-2</v>
      </c>
      <c r="I30" s="180">
        <f t="shared" si="2"/>
        <v>13.974204740677809</v>
      </c>
      <c r="J30" s="181">
        <f t="shared" si="3"/>
        <v>18.964992148062741</v>
      </c>
      <c r="K30" s="179">
        <f t="shared" si="4"/>
        <v>32.939196888740554</v>
      </c>
      <c r="L30" s="242">
        <f>'ET Forecast Capital Additions'!$L30</f>
        <v>0.41666666666666669</v>
      </c>
      <c r="M30" s="183">
        <f t="shared" si="5"/>
        <v>5.8225853086157544</v>
      </c>
      <c r="N30" s="181">
        <f t="shared" si="6"/>
        <v>7.9020800616928089</v>
      </c>
      <c r="O30" s="182">
        <f t="shared" si="7"/>
        <v>13.724665370308564</v>
      </c>
      <c r="P30" s="4">
        <f t="shared" si="14"/>
        <v>20</v>
      </c>
      <c r="Q30" s="31"/>
      <c r="R30" s="427"/>
    </row>
    <row r="31" spans="1:18" x14ac:dyDescent="0.25">
      <c r="A31" s="4">
        <f t="shared" si="8"/>
        <v>21</v>
      </c>
      <c r="B31" s="539">
        <f>'ET Forecast Capital Additions'!B31</f>
        <v>46287</v>
      </c>
      <c r="C31" s="176">
        <v>106</v>
      </c>
      <c r="D31" s="674">
        <v>142</v>
      </c>
      <c r="E31" s="573">
        <f t="shared" si="0"/>
        <v>248</v>
      </c>
      <c r="F31" s="52">
        <f t="shared" si="9"/>
        <v>0.19530696343944817</v>
      </c>
      <c r="G31" s="232">
        <f t="shared" si="10"/>
        <v>0.26163763026794001</v>
      </c>
      <c r="H31" s="124">
        <f t="shared" si="13"/>
        <v>0.45694459370738816</v>
      </c>
      <c r="I31" s="177">
        <f t="shared" si="2"/>
        <v>105.80469303656055</v>
      </c>
      <c r="J31" s="232">
        <f t="shared" si="3"/>
        <v>141.73836236973207</v>
      </c>
      <c r="K31" s="124">
        <f t="shared" si="4"/>
        <v>247.54305540629264</v>
      </c>
      <c r="L31" s="243">
        <f>'ET Forecast Capital Additions'!$L31</f>
        <v>0.33333333333333331</v>
      </c>
      <c r="M31" s="52">
        <f t="shared" si="5"/>
        <v>35.268231012186845</v>
      </c>
      <c r="N31" s="232">
        <f t="shared" si="6"/>
        <v>47.246120789910691</v>
      </c>
      <c r="O31" s="573">
        <f t="shared" si="7"/>
        <v>82.514351802097536</v>
      </c>
      <c r="P31" s="4">
        <f t="shared" si="14"/>
        <v>21</v>
      </c>
      <c r="Q31" s="31"/>
      <c r="R31" s="427"/>
    </row>
    <row r="32" spans="1:18" x14ac:dyDescent="0.25">
      <c r="A32" s="4">
        <f t="shared" si="8"/>
        <v>22</v>
      </c>
      <c r="B32" s="539">
        <f>'ET Forecast Capital Additions'!B32</f>
        <v>46317</v>
      </c>
      <c r="C32" s="176">
        <v>2</v>
      </c>
      <c r="D32" s="674">
        <v>2</v>
      </c>
      <c r="E32" s="573">
        <f t="shared" si="0"/>
        <v>4</v>
      </c>
      <c r="F32" s="52">
        <f t="shared" si="9"/>
        <v>3.6850370460273243E-3</v>
      </c>
      <c r="G32" s="232">
        <f t="shared" si="10"/>
        <v>3.6850370460273243E-3</v>
      </c>
      <c r="H32" s="124">
        <f t="shared" si="13"/>
        <v>7.3700740920546485E-3</v>
      </c>
      <c r="I32" s="177">
        <f t="shared" si="2"/>
        <v>1.9963149629539727</v>
      </c>
      <c r="J32" s="232">
        <f t="shared" si="3"/>
        <v>1.9963149629539727</v>
      </c>
      <c r="K32" s="124">
        <f t="shared" si="4"/>
        <v>3.9926299259079454</v>
      </c>
      <c r="L32" s="241">
        <f>'ET Forecast Capital Additions'!$L32</f>
        <v>0.25</v>
      </c>
      <c r="M32" s="52">
        <f t="shared" si="5"/>
        <v>0.49907874073849318</v>
      </c>
      <c r="N32" s="232">
        <f t="shared" si="6"/>
        <v>0.49907874073849318</v>
      </c>
      <c r="O32" s="573">
        <f t="shared" si="7"/>
        <v>0.99815748147698635</v>
      </c>
      <c r="P32" s="4">
        <f t="shared" si="14"/>
        <v>22</v>
      </c>
      <c r="Q32" s="31"/>
      <c r="R32" s="427"/>
    </row>
    <row r="33" spans="1:18" x14ac:dyDescent="0.25">
      <c r="A33" s="4">
        <f t="shared" si="8"/>
        <v>23</v>
      </c>
      <c r="B33" s="539">
        <f>'ET Forecast Capital Additions'!B33</f>
        <v>46348</v>
      </c>
      <c r="C33" s="176">
        <v>7</v>
      </c>
      <c r="D33" s="674">
        <v>9</v>
      </c>
      <c r="E33" s="573">
        <f t="shared" si="0"/>
        <v>16</v>
      </c>
      <c r="F33" s="52">
        <f t="shared" si="9"/>
        <v>1.2897629661095636E-2</v>
      </c>
      <c r="G33" s="232">
        <f t="shared" si="10"/>
        <v>1.658266670712296E-2</v>
      </c>
      <c r="H33" s="124">
        <f t="shared" si="13"/>
        <v>2.9480296368218598E-2</v>
      </c>
      <c r="I33" s="177">
        <f t="shared" si="2"/>
        <v>6.9871023703389046</v>
      </c>
      <c r="J33" s="232">
        <f t="shared" si="3"/>
        <v>8.9834173332928771</v>
      </c>
      <c r="K33" s="124">
        <f t="shared" si="4"/>
        <v>15.970519703631782</v>
      </c>
      <c r="L33" s="241">
        <f>'ET Forecast Capital Additions'!$L33</f>
        <v>0.16666666666666666</v>
      </c>
      <c r="M33" s="52">
        <f t="shared" si="5"/>
        <v>1.1645170617231506</v>
      </c>
      <c r="N33" s="232">
        <f t="shared" si="6"/>
        <v>1.4972362222154794</v>
      </c>
      <c r="O33" s="573">
        <f t="shared" si="7"/>
        <v>2.66175328393863</v>
      </c>
      <c r="P33" s="4">
        <f t="shared" si="14"/>
        <v>23</v>
      </c>
      <c r="Q33" s="31"/>
      <c r="R33" s="427"/>
    </row>
    <row r="34" spans="1:18" ht="16.5" thickBot="1" x14ac:dyDescent="0.3">
      <c r="A34" s="4">
        <f t="shared" si="8"/>
        <v>24</v>
      </c>
      <c r="B34" s="539">
        <f>'ET Forecast Capital Additions'!B34</f>
        <v>46378</v>
      </c>
      <c r="C34" s="176">
        <v>975</v>
      </c>
      <c r="D34" s="674">
        <v>1309</v>
      </c>
      <c r="E34" s="573">
        <f t="shared" si="0"/>
        <v>2284</v>
      </c>
      <c r="F34" s="52">
        <f t="shared" si="9"/>
        <v>1.7964555599383205</v>
      </c>
      <c r="G34" s="232">
        <f t="shared" si="10"/>
        <v>2.4118567466248839</v>
      </c>
      <c r="H34" s="124">
        <f t="shared" si="13"/>
        <v>4.2083123065632044</v>
      </c>
      <c r="I34" s="177">
        <f t="shared" si="2"/>
        <v>973.20354444006171</v>
      </c>
      <c r="J34" s="232">
        <f t="shared" si="3"/>
        <v>1306.5881432533752</v>
      </c>
      <c r="K34" s="124">
        <f t="shared" si="4"/>
        <v>2279.7916876934369</v>
      </c>
      <c r="L34" s="241">
        <f>'ET Forecast Capital Additions'!$L34</f>
        <v>8.3333333333333329E-2</v>
      </c>
      <c r="M34" s="52">
        <f t="shared" si="5"/>
        <v>81.100295370005142</v>
      </c>
      <c r="N34" s="232">
        <f t="shared" si="6"/>
        <v>108.88234527111459</v>
      </c>
      <c r="O34" s="573">
        <f t="shared" si="7"/>
        <v>189.98264064111973</v>
      </c>
      <c r="P34" s="4">
        <f t="shared" si="14"/>
        <v>24</v>
      </c>
      <c r="Q34" s="31"/>
      <c r="R34" s="427"/>
    </row>
    <row r="35" spans="1:18" ht="16.5" thickBot="1" x14ac:dyDescent="0.3">
      <c r="A35" s="4">
        <f t="shared" si="8"/>
        <v>25</v>
      </c>
      <c r="B35" s="541" t="s">
        <v>180</v>
      </c>
      <c r="C35" s="187">
        <f t="shared" ref="C35:K35" si="15">SUM(C11:C34)</f>
        <v>4528</v>
      </c>
      <c r="D35" s="188">
        <f t="shared" si="15"/>
        <v>6078</v>
      </c>
      <c r="E35" s="190">
        <f t="shared" si="15"/>
        <v>10606</v>
      </c>
      <c r="F35" s="191">
        <f t="shared" si="15"/>
        <v>8.3429238722058603</v>
      </c>
      <c r="G35" s="188">
        <f t="shared" si="15"/>
        <v>11.198827582877037</v>
      </c>
      <c r="H35" s="189">
        <f t="shared" si="15"/>
        <v>19.541751455082903</v>
      </c>
      <c r="I35" s="187">
        <f t="shared" si="15"/>
        <v>4519.6570761277944</v>
      </c>
      <c r="J35" s="188">
        <f t="shared" si="15"/>
        <v>6066.8011724171229</v>
      </c>
      <c r="K35" s="189">
        <f t="shared" si="15"/>
        <v>10586.458248544917</v>
      </c>
      <c r="L35" s="214"/>
      <c r="M35" s="191">
        <f>SUM(M11:M34)</f>
        <v>3511.1853006755455</v>
      </c>
      <c r="N35" s="188">
        <f>SUM(N11:N34)</f>
        <v>4713.7155264849453</v>
      </c>
      <c r="O35" s="190">
        <f>SUM(O11:O34)</f>
        <v>8224.9008271604907</v>
      </c>
      <c r="P35" s="4">
        <f t="shared" si="14"/>
        <v>25</v>
      </c>
      <c r="Q35" s="31"/>
      <c r="R35" s="31"/>
    </row>
    <row r="36" spans="1:18" x14ac:dyDescent="0.25">
      <c r="A36" s="4">
        <f>A35+1</f>
        <v>26</v>
      </c>
      <c r="B36" s="515"/>
      <c r="C36" s="2"/>
      <c r="D36" s="2"/>
      <c r="E36" s="559"/>
      <c r="F36" s="31"/>
      <c r="G36" s="31"/>
      <c r="H36" s="86"/>
      <c r="I36" s="31"/>
      <c r="J36" s="31"/>
      <c r="K36" s="6"/>
      <c r="L36" s="4"/>
      <c r="M36" s="31"/>
      <c r="N36" s="31"/>
      <c r="O36" s="127"/>
      <c r="P36" s="4">
        <f>P35+1</f>
        <v>26</v>
      </c>
      <c r="Q36" s="31"/>
      <c r="R36" s="31"/>
    </row>
    <row r="37" spans="1:18" s="413" customFormat="1" x14ac:dyDescent="0.25">
      <c r="A37" s="4">
        <f>A36+1</f>
        <v>27</v>
      </c>
      <c r="B37" s="543"/>
      <c r="E37" s="31" t="s">
        <v>1434</v>
      </c>
      <c r="F37" s="544"/>
      <c r="G37" s="544"/>
      <c r="H37" s="28">
        <f>'ET Forecast Capital Additions'!H37</f>
        <v>17304.988000000001</v>
      </c>
      <c r="I37" s="193"/>
      <c r="J37" s="31" t="str">
        <f>'ET Forecast Capital Additions'!J37</f>
        <v>Form 1; Page 204-207; Line 58; Col. d</v>
      </c>
      <c r="K37" s="193"/>
      <c r="L37" s="337"/>
      <c r="O37" s="545"/>
      <c r="P37" s="4">
        <f t="shared" ref="P37:P42" si="16">P36+1</f>
        <v>27</v>
      </c>
      <c r="Q37" s="31"/>
    </row>
    <row r="38" spans="1:18" s="413" customFormat="1" x14ac:dyDescent="0.25">
      <c r="A38" s="4">
        <f>A37+1</f>
        <v>28</v>
      </c>
      <c r="B38" s="543"/>
      <c r="E38" s="31"/>
      <c r="F38" s="544"/>
      <c r="G38" s="544"/>
      <c r="H38" s="6"/>
      <c r="I38" s="193"/>
      <c r="J38" s="31"/>
      <c r="K38" s="193"/>
      <c r="L38" s="337"/>
      <c r="O38" s="545"/>
      <c r="P38" s="4">
        <f t="shared" si="16"/>
        <v>28</v>
      </c>
      <c r="Q38" s="31"/>
    </row>
    <row r="39" spans="1:18" s="413" customFormat="1" x14ac:dyDescent="0.25">
      <c r="A39" s="4">
        <f t="shared" ref="A39:A40" si="17">A38+1</f>
        <v>29</v>
      </c>
      <c r="B39" s="543"/>
      <c r="E39" s="31" t="s">
        <v>1436</v>
      </c>
      <c r="F39" s="544"/>
      <c r="G39" s="544"/>
      <c r="H39" s="912">
        <f>'ET Forecast Capital Additions'!H39</f>
        <v>9392029.3249999993</v>
      </c>
      <c r="I39" s="193"/>
      <c r="J39" s="31" t="str">
        <f>'ET Forecast Capital Additions'!J39</f>
        <v>Form 1; Page 204-207; Line 58; Col. g</v>
      </c>
      <c r="K39" s="193"/>
      <c r="L39" s="337"/>
      <c r="O39" s="545"/>
      <c r="P39" s="4">
        <f t="shared" si="16"/>
        <v>29</v>
      </c>
      <c r="Q39" s="31"/>
    </row>
    <row r="40" spans="1:18" s="413" customFormat="1" ht="16.5" thickBot="1" x14ac:dyDescent="0.3">
      <c r="A40" s="4">
        <f t="shared" si="17"/>
        <v>30</v>
      </c>
      <c r="B40" s="543"/>
      <c r="E40" s="544"/>
      <c r="F40" s="544"/>
      <c r="G40" s="544"/>
      <c r="H40" s="193"/>
      <c r="I40" s="193"/>
      <c r="J40" s="193"/>
      <c r="K40" s="193"/>
      <c r="L40" s="337"/>
      <c r="O40" s="545"/>
      <c r="P40" s="4">
        <f t="shared" si="16"/>
        <v>30</v>
      </c>
    </row>
    <row r="41" spans="1:18" ht="16.5" thickBot="1" x14ac:dyDescent="0.3">
      <c r="A41" s="4">
        <f>A40+1</f>
        <v>31</v>
      </c>
      <c r="B41" s="515"/>
      <c r="C41" s="31"/>
      <c r="D41" s="31"/>
      <c r="E41" s="1" t="s">
        <v>1438</v>
      </c>
      <c r="F41" s="31"/>
      <c r="G41" s="31"/>
      <c r="H41" s="194">
        <f>IFERROR(H37/H39,0)</f>
        <v>1.8425185230136621E-3</v>
      </c>
      <c r="I41" s="47"/>
      <c r="J41" s="31" t="s">
        <v>1439</v>
      </c>
      <c r="K41" s="47"/>
      <c r="L41" s="4"/>
      <c r="M41" s="31"/>
      <c r="N41" s="31"/>
      <c r="O41" s="380"/>
      <c r="P41" s="4">
        <f t="shared" si="16"/>
        <v>31</v>
      </c>
      <c r="Q41" s="31"/>
      <c r="R41" s="31"/>
    </row>
    <row r="42" spans="1:18" ht="16.5" thickBot="1" x14ac:dyDescent="0.3">
      <c r="A42" s="4">
        <f t="shared" si="8"/>
        <v>32</v>
      </c>
      <c r="B42" s="546"/>
      <c r="C42" s="862"/>
      <c r="D42" s="862"/>
      <c r="E42" s="862"/>
      <c r="F42" s="862"/>
      <c r="G42" s="862"/>
      <c r="H42" s="862"/>
      <c r="I42" s="862"/>
      <c r="J42" s="862"/>
      <c r="K42" s="862"/>
      <c r="L42" s="861"/>
      <c r="M42" s="862"/>
      <c r="N42" s="862"/>
      <c r="O42" s="195"/>
      <c r="P42" s="4">
        <f t="shared" si="16"/>
        <v>32</v>
      </c>
      <c r="Q42" s="413"/>
      <c r="R42" s="31"/>
    </row>
    <row r="43" spans="1:18" ht="16.5" thickBot="1" x14ac:dyDescent="0.3">
      <c r="A43" s="4">
        <f t="shared" si="8"/>
        <v>33</v>
      </c>
      <c r="B43" s="560"/>
      <c r="C43" s="561"/>
      <c r="D43" s="561"/>
      <c r="E43" s="561"/>
      <c r="F43" s="561"/>
      <c r="G43" s="561"/>
      <c r="H43" s="561"/>
      <c r="I43" s="561"/>
      <c r="J43" s="561"/>
      <c r="K43" s="561"/>
      <c r="L43" s="562"/>
      <c r="M43" s="561"/>
      <c r="N43" s="561"/>
      <c r="O43" s="563"/>
      <c r="P43" s="4">
        <f t="shared" ref="P43:P49" si="18">P42+1</f>
        <v>33</v>
      </c>
      <c r="Q43" s="413"/>
      <c r="R43" s="31"/>
    </row>
    <row r="44" spans="1:18" ht="16.5" thickBot="1" x14ac:dyDescent="0.3">
      <c r="A44" s="4">
        <f t="shared" si="8"/>
        <v>34</v>
      </c>
      <c r="B44" s="548"/>
      <c r="C44" s="31"/>
      <c r="D44" s="250"/>
      <c r="E44" s="31"/>
      <c r="F44" s="31"/>
      <c r="G44" s="29"/>
      <c r="H44" s="471" t="s">
        <v>1447</v>
      </c>
      <c r="I44" s="550" t="s">
        <v>1441</v>
      </c>
      <c r="J44" s="551" t="s">
        <v>1442</v>
      </c>
      <c r="K44" s="551" t="s">
        <v>1399</v>
      </c>
      <c r="L44" s="217"/>
      <c r="M44" s="550" t="s">
        <v>1402</v>
      </c>
      <c r="N44" s="550" t="s">
        <v>1403</v>
      </c>
      <c r="O44" s="550" t="s">
        <v>1443</v>
      </c>
      <c r="P44" s="4">
        <f t="shared" si="18"/>
        <v>34</v>
      </c>
      <c r="Q44" s="413"/>
      <c r="R44" s="31"/>
    </row>
    <row r="45" spans="1:18" ht="16.5" thickBot="1" x14ac:dyDescent="0.3">
      <c r="A45" s="4">
        <f t="shared" si="8"/>
        <v>35</v>
      </c>
      <c r="B45" s="515"/>
      <c r="C45" s="31"/>
      <c r="D45" s="31"/>
      <c r="E45" s="31"/>
      <c r="F45" s="31"/>
      <c r="G45" s="29"/>
      <c r="H45" s="471" t="s">
        <v>1448</v>
      </c>
      <c r="I45" s="196">
        <f>+I35</f>
        <v>4519.6570761277944</v>
      </c>
      <c r="J45" s="196">
        <f>+J35</f>
        <v>6066.8011724171229</v>
      </c>
      <c r="K45" s="196">
        <f>+K35</f>
        <v>10586.458248544917</v>
      </c>
      <c r="L45" s="215"/>
      <c r="M45" s="196">
        <f>+M35</f>
        <v>3511.1853006755455</v>
      </c>
      <c r="N45" s="196">
        <f>+N35</f>
        <v>4713.7155264849453</v>
      </c>
      <c r="O45" s="196">
        <f>+O35</f>
        <v>8224.9008271604907</v>
      </c>
      <c r="P45" s="4">
        <f t="shared" si="18"/>
        <v>35</v>
      </c>
      <c r="Q45" s="31"/>
      <c r="R45" s="31"/>
    </row>
    <row r="46" spans="1:18" ht="16.5" thickTop="1" x14ac:dyDescent="0.25">
      <c r="A46" s="4">
        <f t="shared" si="8"/>
        <v>36</v>
      </c>
      <c r="B46" s="515"/>
      <c r="C46" s="31"/>
      <c r="D46" s="31"/>
      <c r="E46" s="31"/>
      <c r="F46" s="31"/>
      <c r="G46" s="29"/>
      <c r="H46" s="29"/>
      <c r="I46" s="216">
        <v>0</v>
      </c>
      <c r="J46" s="216">
        <v>0</v>
      </c>
      <c r="K46" s="216">
        <v>0</v>
      </c>
      <c r="L46" s="217"/>
      <c r="M46" s="216">
        <v>0</v>
      </c>
      <c r="N46" s="216">
        <v>0</v>
      </c>
      <c r="O46" s="216">
        <v>0</v>
      </c>
      <c r="P46" s="4">
        <f t="shared" si="18"/>
        <v>36</v>
      </c>
      <c r="Q46" s="31"/>
      <c r="R46" s="31"/>
    </row>
    <row r="47" spans="1:18" ht="16.5" thickBot="1" x14ac:dyDescent="0.3">
      <c r="A47" s="4">
        <f>A46+1</f>
        <v>37</v>
      </c>
      <c r="B47" s="515"/>
      <c r="C47" s="31"/>
      <c r="D47" s="31"/>
      <c r="E47" s="31"/>
      <c r="F47" s="31"/>
      <c r="G47" s="29"/>
      <c r="H47" s="471" t="s">
        <v>1445</v>
      </c>
      <c r="I47" s="200">
        <f>IFERROR(+I45/K45,0)</f>
        <v>0.42692815387516503</v>
      </c>
      <c r="J47" s="200">
        <f>IFERROR(+J45/K45,0)</f>
        <v>0.57307184612483497</v>
      </c>
      <c r="K47" s="200">
        <f>I47+J47</f>
        <v>1</v>
      </c>
      <c r="L47" s="217"/>
      <c r="M47" s="200">
        <f>IFERROR(+M45/O45,0)</f>
        <v>0.42689697717458358</v>
      </c>
      <c r="N47" s="200">
        <f>IFERROR(+N45/O45,0)</f>
        <v>0.57310302282541647</v>
      </c>
      <c r="O47" s="200">
        <f>M47+N47</f>
        <v>1</v>
      </c>
      <c r="P47" s="4">
        <f>P46+1</f>
        <v>37</v>
      </c>
      <c r="Q47" s="31"/>
      <c r="R47" s="31"/>
    </row>
    <row r="48" spans="1:18" ht="17.25" thickTop="1" thickBot="1" x14ac:dyDescent="0.3">
      <c r="A48" s="4">
        <f t="shared" si="8"/>
        <v>38</v>
      </c>
      <c r="B48" s="514"/>
      <c r="C48" s="31"/>
      <c r="D48" s="31"/>
      <c r="E48" s="31"/>
      <c r="F48" s="31"/>
      <c r="G48" s="31"/>
      <c r="H48" s="31"/>
      <c r="I48" s="204"/>
      <c r="J48" s="204"/>
      <c r="K48" s="204"/>
      <c r="L48" s="4"/>
      <c r="M48" s="564"/>
      <c r="N48" s="564"/>
      <c r="O48" s="564"/>
      <c r="P48" s="4">
        <f t="shared" si="18"/>
        <v>38</v>
      </c>
      <c r="Q48" s="31"/>
      <c r="R48" s="31"/>
    </row>
    <row r="49" spans="1:18" ht="16.5" thickBot="1" x14ac:dyDescent="0.3">
      <c r="A49" s="4">
        <f t="shared" si="8"/>
        <v>39</v>
      </c>
      <c r="B49" s="519"/>
      <c r="C49" s="862"/>
      <c r="D49" s="862"/>
      <c r="E49" s="862"/>
      <c r="F49" s="862"/>
      <c r="G49" s="862"/>
      <c r="H49" s="862"/>
      <c r="I49" s="862"/>
      <c r="J49" s="862"/>
      <c r="K49" s="862"/>
      <c r="L49" s="861"/>
      <c r="M49" s="862"/>
      <c r="N49" s="862"/>
      <c r="O49" s="195"/>
      <c r="P49" s="4">
        <f t="shared" si="18"/>
        <v>39</v>
      </c>
      <c r="Q49" s="31"/>
      <c r="R49" s="31"/>
    </row>
    <row r="50" spans="1:18" x14ac:dyDescent="0.25">
      <c r="B50" s="1"/>
      <c r="C50" s="31"/>
      <c r="D50" s="31"/>
      <c r="E50" s="31"/>
      <c r="F50" s="31"/>
      <c r="G50" s="31"/>
      <c r="H50" s="31"/>
      <c r="I50" s="31"/>
      <c r="J50" s="31"/>
      <c r="K50" s="31"/>
      <c r="L50" s="4"/>
      <c r="M50" s="31"/>
      <c r="N50" s="31"/>
      <c r="O50" s="31"/>
      <c r="Q50" s="31"/>
      <c r="R50" s="31"/>
    </row>
    <row r="51" spans="1:18" x14ac:dyDescent="0.25">
      <c r="B51" s="1"/>
      <c r="C51" s="31"/>
      <c r="D51" s="31"/>
      <c r="E51" s="31"/>
      <c r="F51" s="31"/>
      <c r="G51" s="31"/>
      <c r="H51" s="31"/>
      <c r="I51" s="31"/>
      <c r="J51" s="31"/>
      <c r="K51" s="31"/>
      <c r="L51" s="4"/>
      <c r="M51" s="31"/>
      <c r="N51" s="31"/>
      <c r="O51" s="31"/>
      <c r="Q51" s="31"/>
      <c r="R51" s="31"/>
    </row>
    <row r="52" spans="1:18" ht="18.75" x14ac:dyDescent="0.25">
      <c r="A52" s="252">
        <v>1</v>
      </c>
      <c r="B52" s="31" t="s">
        <v>1615</v>
      </c>
      <c r="C52" s="31"/>
      <c r="D52" s="31"/>
      <c r="E52" s="31"/>
      <c r="F52" s="31"/>
      <c r="G52" s="31"/>
      <c r="H52" s="31"/>
      <c r="I52" s="31"/>
      <c r="J52" s="31"/>
      <c r="K52" s="31"/>
      <c r="L52" s="4"/>
      <c r="M52" s="31"/>
      <c r="N52" s="31"/>
      <c r="O52" s="31"/>
      <c r="Q52" s="31"/>
      <c r="R52" s="31"/>
    </row>
    <row r="53" spans="1:18" x14ac:dyDescent="0.25">
      <c r="B53" s="31"/>
      <c r="C53" s="31"/>
      <c r="D53" s="31"/>
      <c r="E53" s="31"/>
      <c r="F53" s="31"/>
      <c r="G53" s="31"/>
      <c r="H53" s="31"/>
      <c r="I53" s="31"/>
      <c r="J53" s="31"/>
      <c r="K53" s="31"/>
      <c r="L53" s="4"/>
      <c r="M53" s="31"/>
      <c r="N53" s="31"/>
      <c r="O53" s="31"/>
      <c r="Q53" s="31"/>
      <c r="R53" s="31"/>
    </row>
    <row r="54" spans="1:18" x14ac:dyDescent="0.25">
      <c r="B54" s="1"/>
      <c r="C54" s="31"/>
      <c r="D54" s="31"/>
      <c r="E54" s="31"/>
      <c r="F54" s="31"/>
      <c r="G54" s="31"/>
      <c r="H54" s="31"/>
      <c r="I54" s="31"/>
      <c r="J54" s="31"/>
      <c r="K54" s="31"/>
      <c r="L54" s="4"/>
      <c r="M54" s="31"/>
      <c r="N54" s="31"/>
      <c r="O54" s="31"/>
      <c r="Q54" s="31"/>
      <c r="R54" s="31"/>
    </row>
  </sheetData>
  <mergeCells count="9">
    <mergeCell ref="C8:E8"/>
    <mergeCell ref="F8:H8"/>
    <mergeCell ref="I8:K8"/>
    <mergeCell ref="M8:O8"/>
    <mergeCell ref="B2:O2"/>
    <mergeCell ref="B3:O3"/>
    <mergeCell ref="B4:O4"/>
    <mergeCell ref="B5:O5"/>
    <mergeCell ref="B6:O6"/>
  </mergeCells>
  <printOptions horizontalCentered="1"/>
  <pageMargins left="0.5" right="0.5" top="0.5" bottom="0.5" header="0.25" footer="0.25"/>
  <pageSetup scale="59" orientation="landscape" r:id="rId1"/>
  <headerFooter scaleWithDoc="0">
    <oddFooter>&amp;C&amp;"Times New Roman,Regular"&amp;10Summary of Weighted Transmission Related Common, General, and Electric Miscellaneous Intangible Plant Additions</oddFooter>
  </headerFooter>
  <customProperties>
    <customPr name="_pios_id" r:id="rId2"/>
  </customPropertie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R58"/>
  <sheetViews>
    <sheetView zoomScale="80" zoomScaleNormal="80" workbookViewId="0">
      <selection activeCell="G34" sqref="G34"/>
    </sheetView>
  </sheetViews>
  <sheetFormatPr defaultColWidth="8.7109375" defaultRowHeight="15.75" x14ac:dyDescent="0.25"/>
  <cols>
    <col min="1" max="1" width="5.28515625" style="4" customWidth="1"/>
    <col min="2" max="2" width="8.5703125" style="5" customWidth="1"/>
    <col min="3" max="11" width="15.7109375" style="5" customWidth="1"/>
    <col min="12" max="12" width="11.28515625" style="5" customWidth="1"/>
    <col min="13" max="15" width="15.7109375" style="5" customWidth="1"/>
    <col min="16" max="16" width="5.28515625" style="4" customWidth="1"/>
    <col min="17" max="16384" width="8.7109375" style="5"/>
  </cols>
  <sheetData>
    <row r="1" spans="1:18" x14ac:dyDescent="0.25">
      <c r="B1" s="31"/>
      <c r="C1" s="254"/>
      <c r="D1" s="31"/>
      <c r="E1" s="31"/>
      <c r="F1" s="31"/>
      <c r="G1" s="31"/>
      <c r="H1" s="31"/>
      <c r="I1" s="31"/>
      <c r="J1" s="31"/>
      <c r="K1" s="31"/>
      <c r="L1" s="31"/>
      <c r="M1" s="31"/>
      <c r="N1" s="31"/>
      <c r="O1" s="31"/>
      <c r="Q1" s="31"/>
      <c r="R1" s="31"/>
    </row>
    <row r="2" spans="1:18" x14ac:dyDescent="0.25">
      <c r="B2" s="1316" t="s">
        <v>0</v>
      </c>
      <c r="C2" s="1316"/>
      <c r="D2" s="1316"/>
      <c r="E2" s="1316"/>
      <c r="F2" s="1316"/>
      <c r="G2" s="1316"/>
      <c r="H2" s="1316"/>
      <c r="I2" s="1316"/>
      <c r="J2" s="1316"/>
      <c r="K2" s="1316"/>
      <c r="L2" s="1316"/>
      <c r="M2" s="1316"/>
      <c r="N2" s="1316"/>
      <c r="O2" s="1316"/>
      <c r="Q2" s="31"/>
      <c r="R2" s="31"/>
    </row>
    <row r="3" spans="1:18" x14ac:dyDescent="0.25">
      <c r="B3" s="1316" t="s">
        <v>1425</v>
      </c>
      <c r="C3" s="1316"/>
      <c r="D3" s="1316"/>
      <c r="E3" s="1316"/>
      <c r="F3" s="1316"/>
      <c r="G3" s="1316"/>
      <c r="H3" s="1316"/>
      <c r="I3" s="1316"/>
      <c r="J3" s="1316"/>
      <c r="K3" s="1316"/>
      <c r="L3" s="1316"/>
      <c r="M3" s="1316"/>
      <c r="N3" s="1316"/>
      <c r="O3" s="1316"/>
      <c r="Q3" s="31"/>
      <c r="R3" s="31"/>
    </row>
    <row r="4" spans="1:18" x14ac:dyDescent="0.25">
      <c r="B4" s="1318" t="str">
        <f>'Summary of HV-LV Splits'!B4</f>
        <v>24-Month Forecast Period (January 1, 2025 - December 31, 2026)</v>
      </c>
      <c r="C4" s="1318"/>
      <c r="D4" s="1318"/>
      <c r="E4" s="1318"/>
      <c r="F4" s="1318"/>
      <c r="G4" s="1318"/>
      <c r="H4" s="1318"/>
      <c r="I4" s="1318"/>
      <c r="J4" s="1318"/>
      <c r="K4" s="1318"/>
      <c r="L4" s="1318"/>
      <c r="M4" s="1318"/>
      <c r="N4" s="1318"/>
      <c r="O4" s="1318"/>
      <c r="Q4" s="31"/>
      <c r="R4" s="31"/>
    </row>
    <row r="5" spans="1:18" x14ac:dyDescent="0.25">
      <c r="B5" s="1316" t="s">
        <v>1449</v>
      </c>
      <c r="C5" s="1316"/>
      <c r="D5" s="1316"/>
      <c r="E5" s="1316"/>
      <c r="F5" s="1316"/>
      <c r="G5" s="1316"/>
      <c r="H5" s="1316"/>
      <c r="I5" s="1316"/>
      <c r="J5" s="1316"/>
      <c r="K5" s="1316"/>
      <c r="L5" s="1316"/>
      <c r="M5" s="1316"/>
      <c r="N5" s="1316"/>
      <c r="O5" s="1316"/>
      <c r="Q5" s="31"/>
      <c r="R5" s="31"/>
    </row>
    <row r="6" spans="1:18" x14ac:dyDescent="0.25">
      <c r="B6" s="1342">
        <v>-1000</v>
      </c>
      <c r="C6" s="1342"/>
      <c r="D6" s="1342"/>
      <c r="E6" s="1342"/>
      <c r="F6" s="1342"/>
      <c r="G6" s="1342"/>
      <c r="H6" s="1342"/>
      <c r="I6" s="1342"/>
      <c r="J6" s="1342"/>
      <c r="K6" s="1342"/>
      <c r="L6" s="1342"/>
      <c r="M6" s="1342"/>
      <c r="N6" s="1342"/>
      <c r="O6" s="1342"/>
      <c r="Q6" s="31"/>
      <c r="R6" s="31"/>
    </row>
    <row r="7" spans="1:18" ht="16.5" thickBot="1" x14ac:dyDescent="0.3">
      <c r="B7" s="31"/>
      <c r="C7" s="31"/>
      <c r="D7" s="31"/>
      <c r="E7" s="31"/>
      <c r="F7" s="31"/>
      <c r="G7" s="31"/>
      <c r="H7" s="31"/>
      <c r="I7" s="31"/>
      <c r="J7" s="31"/>
      <c r="K7" s="31"/>
      <c r="L7" s="31"/>
      <c r="M7" s="31"/>
      <c r="N7" s="31"/>
      <c r="O7" s="31"/>
      <c r="Q7" s="31"/>
      <c r="R7" s="31"/>
    </row>
    <row r="8" spans="1:18" x14ac:dyDescent="0.25">
      <c r="A8" s="4" t="s">
        <v>5</v>
      </c>
      <c r="B8" s="230"/>
      <c r="C8" s="228" t="s">
        <v>1450</v>
      </c>
      <c r="D8" s="226"/>
      <c r="E8" s="229"/>
      <c r="F8" s="225" t="s">
        <v>1428</v>
      </c>
      <c r="G8" s="226"/>
      <c r="H8" s="227"/>
      <c r="I8" s="228" t="s">
        <v>1429</v>
      </c>
      <c r="J8" s="226"/>
      <c r="K8" s="229"/>
      <c r="L8" s="230" t="s">
        <v>1430</v>
      </c>
      <c r="M8" s="228" t="s">
        <v>1431</v>
      </c>
      <c r="N8" s="226"/>
      <c r="O8" s="227"/>
      <c r="P8" s="4" t="s">
        <v>5</v>
      </c>
      <c r="Q8" s="1"/>
      <c r="R8" s="1"/>
    </row>
    <row r="9" spans="1:18" ht="16.5" thickBot="1" x14ac:dyDescent="0.3">
      <c r="A9" s="4" t="s">
        <v>6</v>
      </c>
      <c r="B9" s="529" t="s">
        <v>1432</v>
      </c>
      <c r="C9" s="534" t="s">
        <v>1400</v>
      </c>
      <c r="D9" s="531" t="s">
        <v>1401</v>
      </c>
      <c r="E9" s="532" t="s">
        <v>180</v>
      </c>
      <c r="F9" s="530" t="s">
        <v>1400</v>
      </c>
      <c r="G9" s="531" t="s">
        <v>1401</v>
      </c>
      <c r="H9" s="533" t="s">
        <v>180</v>
      </c>
      <c r="I9" s="534" t="s">
        <v>1400</v>
      </c>
      <c r="J9" s="531" t="s">
        <v>1401</v>
      </c>
      <c r="K9" s="532" t="s">
        <v>180</v>
      </c>
      <c r="L9" s="529" t="s">
        <v>1433</v>
      </c>
      <c r="M9" s="534" t="s">
        <v>1400</v>
      </c>
      <c r="N9" s="531" t="s">
        <v>1401</v>
      </c>
      <c r="O9" s="533" t="s">
        <v>180</v>
      </c>
      <c r="P9" s="4" t="s">
        <v>6</v>
      </c>
      <c r="Q9" s="1"/>
      <c r="R9" s="1"/>
    </row>
    <row r="10" spans="1:18" x14ac:dyDescent="0.25">
      <c r="A10" s="217"/>
      <c r="B10" s="230"/>
      <c r="C10" s="217"/>
      <c r="D10" s="457"/>
      <c r="E10" s="217"/>
      <c r="F10" s="507"/>
      <c r="G10" s="458"/>
      <c r="H10" s="538"/>
      <c r="I10" s="217"/>
      <c r="J10" s="457"/>
      <c r="K10" s="217"/>
      <c r="L10" s="535"/>
      <c r="M10" s="217"/>
      <c r="N10" s="457"/>
      <c r="O10" s="538"/>
      <c r="P10" s="217"/>
      <c r="Q10" s="1"/>
      <c r="R10" s="1"/>
    </row>
    <row r="11" spans="1:18" x14ac:dyDescent="0.25">
      <c r="A11" s="4">
        <v>1</v>
      </c>
      <c r="B11" s="539">
        <f>'ET Forecast Capital Additions'!B11</f>
        <v>45679</v>
      </c>
      <c r="C11" s="218">
        <v>0</v>
      </c>
      <c r="D11" s="673">
        <v>0</v>
      </c>
      <c r="E11" s="119">
        <f t="shared" ref="E11:E34" si="0">C11+D11</f>
        <v>0</v>
      </c>
      <c r="F11" s="175">
        <f>C11*$H$41</f>
        <v>0</v>
      </c>
      <c r="G11" s="592">
        <f t="shared" ref="G11:G34" si="1">D11*$H$41</f>
        <v>0</v>
      </c>
      <c r="H11" s="219">
        <f t="shared" ref="H11:H34" si="2">F11+G11</f>
        <v>0</v>
      </c>
      <c r="I11" s="58">
        <f>C11-F11</f>
        <v>0</v>
      </c>
      <c r="J11" s="231">
        <f>D11-G11</f>
        <v>0</v>
      </c>
      <c r="K11" s="119">
        <f t="shared" ref="K11:K34" si="3">I11+J11</f>
        <v>0</v>
      </c>
      <c r="L11" s="241">
        <f>'ET Forecast Capital Additions'!$L11</f>
        <v>1</v>
      </c>
      <c r="M11" s="58">
        <f>I11*L11</f>
        <v>0</v>
      </c>
      <c r="N11" s="231">
        <f t="shared" ref="N11:N34" si="4">J11*L11</f>
        <v>0</v>
      </c>
      <c r="O11" s="592">
        <f t="shared" ref="O11:O34" si="5">M11+N11</f>
        <v>0</v>
      </c>
      <c r="P11" s="4">
        <f>A11</f>
        <v>1</v>
      </c>
      <c r="Q11" s="31"/>
      <c r="R11" s="31"/>
    </row>
    <row r="12" spans="1:18" x14ac:dyDescent="0.25">
      <c r="A12" s="4">
        <f t="shared" ref="A12:A49" si="6">A11+1</f>
        <v>2</v>
      </c>
      <c r="B12" s="539">
        <f>'ET Forecast Capital Additions'!B12</f>
        <v>45710</v>
      </c>
      <c r="C12" s="220">
        <v>0</v>
      </c>
      <c r="D12" s="674">
        <v>0</v>
      </c>
      <c r="E12" s="124">
        <f t="shared" si="0"/>
        <v>0</v>
      </c>
      <c r="F12" s="177">
        <f t="shared" ref="F12:F34" si="7">C12*$H$41</f>
        <v>0</v>
      </c>
      <c r="G12" s="573">
        <f t="shared" si="1"/>
        <v>0</v>
      </c>
      <c r="H12" s="127">
        <f t="shared" si="2"/>
        <v>0</v>
      </c>
      <c r="I12" s="52">
        <f t="shared" ref="I12:J34" si="8">C12-F12</f>
        <v>0</v>
      </c>
      <c r="J12" s="232">
        <f t="shared" si="8"/>
        <v>0</v>
      </c>
      <c r="K12" s="124">
        <f t="shared" si="3"/>
        <v>0</v>
      </c>
      <c r="L12" s="241">
        <f>'ET Forecast Capital Additions'!$L12</f>
        <v>1</v>
      </c>
      <c r="M12" s="52">
        <f t="shared" ref="M12:M34" si="9">I12*L12</f>
        <v>0</v>
      </c>
      <c r="N12" s="232">
        <f t="shared" si="4"/>
        <v>0</v>
      </c>
      <c r="O12" s="573">
        <f t="shared" si="5"/>
        <v>0</v>
      </c>
      <c r="P12" s="4">
        <f t="shared" ref="P12:P49" si="10">P11+1</f>
        <v>2</v>
      </c>
      <c r="Q12" s="31"/>
      <c r="R12" s="31"/>
    </row>
    <row r="13" spans="1:18" x14ac:dyDescent="0.25">
      <c r="A13" s="4">
        <f t="shared" si="6"/>
        <v>3</v>
      </c>
      <c r="B13" s="539">
        <f>'ET Forecast Capital Additions'!B13</f>
        <v>45738</v>
      </c>
      <c r="C13" s="220">
        <v>0</v>
      </c>
      <c r="D13" s="674">
        <v>0</v>
      </c>
      <c r="E13" s="124">
        <f t="shared" si="0"/>
        <v>0</v>
      </c>
      <c r="F13" s="177">
        <f t="shared" si="7"/>
        <v>0</v>
      </c>
      <c r="G13" s="573">
        <f t="shared" si="1"/>
        <v>0</v>
      </c>
      <c r="H13" s="127">
        <f t="shared" si="2"/>
        <v>0</v>
      </c>
      <c r="I13" s="52">
        <f t="shared" si="8"/>
        <v>0</v>
      </c>
      <c r="J13" s="232">
        <f t="shared" si="8"/>
        <v>0</v>
      </c>
      <c r="K13" s="124">
        <f t="shared" si="3"/>
        <v>0</v>
      </c>
      <c r="L13" s="241">
        <f>'ET Forecast Capital Additions'!$L13</f>
        <v>1</v>
      </c>
      <c r="M13" s="52">
        <f t="shared" si="9"/>
        <v>0</v>
      </c>
      <c r="N13" s="232">
        <f t="shared" si="4"/>
        <v>0</v>
      </c>
      <c r="O13" s="573">
        <f t="shared" si="5"/>
        <v>0</v>
      </c>
      <c r="P13" s="4">
        <f t="shared" si="10"/>
        <v>3</v>
      </c>
      <c r="Q13" s="31"/>
      <c r="R13" s="31"/>
    </row>
    <row r="14" spans="1:18" ht="16.5" thickBot="1" x14ac:dyDescent="0.3">
      <c r="A14" s="4">
        <f t="shared" si="6"/>
        <v>4</v>
      </c>
      <c r="B14" s="540">
        <f>'ET Forecast Capital Additions'!B14</f>
        <v>45769</v>
      </c>
      <c r="C14" s="221">
        <v>0</v>
      </c>
      <c r="D14" s="207">
        <v>0</v>
      </c>
      <c r="E14" s="179">
        <f t="shared" si="0"/>
        <v>0</v>
      </c>
      <c r="F14" s="180">
        <f t="shared" si="7"/>
        <v>0</v>
      </c>
      <c r="G14" s="182">
        <f t="shared" si="1"/>
        <v>0</v>
      </c>
      <c r="H14" s="212">
        <f t="shared" si="2"/>
        <v>0</v>
      </c>
      <c r="I14" s="183">
        <f t="shared" si="8"/>
        <v>0</v>
      </c>
      <c r="J14" s="181">
        <f t="shared" si="8"/>
        <v>0</v>
      </c>
      <c r="K14" s="179">
        <f t="shared" si="3"/>
        <v>0</v>
      </c>
      <c r="L14" s="242">
        <f>'ET Forecast Capital Additions'!$L14</f>
        <v>1</v>
      </c>
      <c r="M14" s="183">
        <f t="shared" si="9"/>
        <v>0</v>
      </c>
      <c r="N14" s="181">
        <f t="shared" si="4"/>
        <v>0</v>
      </c>
      <c r="O14" s="182">
        <f t="shared" si="5"/>
        <v>0</v>
      </c>
      <c r="P14" s="4">
        <f t="shared" si="10"/>
        <v>4</v>
      </c>
      <c r="Q14" s="31"/>
      <c r="R14" s="31"/>
    </row>
    <row r="15" spans="1:18" x14ac:dyDescent="0.25">
      <c r="A15" s="4">
        <f t="shared" si="6"/>
        <v>5</v>
      </c>
      <c r="B15" s="539">
        <f>'ET Forecast Capital Additions'!B15</f>
        <v>45799</v>
      </c>
      <c r="C15" s="222">
        <v>0</v>
      </c>
      <c r="D15" s="184">
        <v>0</v>
      </c>
      <c r="E15" s="122">
        <f t="shared" si="0"/>
        <v>0</v>
      </c>
      <c r="F15" s="185">
        <f t="shared" si="7"/>
        <v>0</v>
      </c>
      <c r="G15" s="123">
        <f t="shared" si="1"/>
        <v>0</v>
      </c>
      <c r="H15" s="223">
        <f t="shared" si="2"/>
        <v>0</v>
      </c>
      <c r="I15" s="52">
        <f t="shared" si="8"/>
        <v>0</v>
      </c>
      <c r="J15" s="232">
        <f t="shared" si="8"/>
        <v>0</v>
      </c>
      <c r="K15" s="122">
        <f t="shared" si="3"/>
        <v>0</v>
      </c>
      <c r="L15" s="243">
        <f>'ET Forecast Capital Additions'!$L15</f>
        <v>1</v>
      </c>
      <c r="M15" s="52">
        <f t="shared" si="9"/>
        <v>0</v>
      </c>
      <c r="N15" s="232">
        <f t="shared" si="4"/>
        <v>0</v>
      </c>
      <c r="O15" s="123">
        <f t="shared" si="5"/>
        <v>0</v>
      </c>
      <c r="P15" s="4">
        <f t="shared" si="10"/>
        <v>5</v>
      </c>
      <c r="Q15" s="31"/>
      <c r="R15" s="31"/>
    </row>
    <row r="16" spans="1:18" x14ac:dyDescent="0.25">
      <c r="A16" s="4">
        <f t="shared" si="6"/>
        <v>6</v>
      </c>
      <c r="B16" s="539">
        <f>'ET Forecast Capital Additions'!B16</f>
        <v>45830</v>
      </c>
      <c r="C16" s="220">
        <v>0</v>
      </c>
      <c r="D16" s="674">
        <v>0</v>
      </c>
      <c r="E16" s="124">
        <f t="shared" si="0"/>
        <v>0</v>
      </c>
      <c r="F16" s="177">
        <f t="shared" si="7"/>
        <v>0</v>
      </c>
      <c r="G16" s="573">
        <f t="shared" si="1"/>
        <v>0</v>
      </c>
      <c r="H16" s="127">
        <f t="shared" si="2"/>
        <v>0</v>
      </c>
      <c r="I16" s="52">
        <f t="shared" si="8"/>
        <v>0</v>
      </c>
      <c r="J16" s="232">
        <f t="shared" si="8"/>
        <v>0</v>
      </c>
      <c r="K16" s="124">
        <f t="shared" si="3"/>
        <v>0</v>
      </c>
      <c r="L16" s="241">
        <f>'ET Forecast Capital Additions'!$L16</f>
        <v>1</v>
      </c>
      <c r="M16" s="52">
        <f t="shared" si="9"/>
        <v>0</v>
      </c>
      <c r="N16" s="232">
        <f t="shared" si="4"/>
        <v>0</v>
      </c>
      <c r="O16" s="573">
        <f t="shared" si="5"/>
        <v>0</v>
      </c>
      <c r="P16" s="4">
        <f t="shared" si="10"/>
        <v>6</v>
      </c>
      <c r="Q16" s="31"/>
      <c r="R16" s="31"/>
    </row>
    <row r="17" spans="1:18" x14ac:dyDescent="0.25">
      <c r="A17" s="4">
        <f t="shared" si="6"/>
        <v>7</v>
      </c>
      <c r="B17" s="539">
        <f>'ET Forecast Capital Additions'!B17</f>
        <v>45860</v>
      </c>
      <c r="C17" s="220">
        <v>0</v>
      </c>
      <c r="D17" s="674">
        <v>0</v>
      </c>
      <c r="E17" s="124">
        <f t="shared" si="0"/>
        <v>0</v>
      </c>
      <c r="F17" s="177">
        <f t="shared" si="7"/>
        <v>0</v>
      </c>
      <c r="G17" s="573">
        <f t="shared" si="1"/>
        <v>0</v>
      </c>
      <c r="H17" s="127">
        <f t="shared" si="2"/>
        <v>0</v>
      </c>
      <c r="I17" s="52">
        <f t="shared" si="8"/>
        <v>0</v>
      </c>
      <c r="J17" s="232">
        <f t="shared" si="8"/>
        <v>0</v>
      </c>
      <c r="K17" s="124">
        <f t="shared" si="3"/>
        <v>0</v>
      </c>
      <c r="L17" s="241">
        <f>'ET Forecast Capital Additions'!$L17</f>
        <v>1</v>
      </c>
      <c r="M17" s="52">
        <f t="shared" si="9"/>
        <v>0</v>
      </c>
      <c r="N17" s="232">
        <f t="shared" si="4"/>
        <v>0</v>
      </c>
      <c r="O17" s="573">
        <f t="shared" si="5"/>
        <v>0</v>
      </c>
      <c r="P17" s="4">
        <f t="shared" si="10"/>
        <v>7</v>
      </c>
      <c r="Q17" s="31"/>
      <c r="R17" s="31"/>
    </row>
    <row r="18" spans="1:18" ht="16.5" thickBot="1" x14ac:dyDescent="0.3">
      <c r="A18" s="4">
        <f t="shared" si="6"/>
        <v>8</v>
      </c>
      <c r="B18" s="540">
        <f>'ET Forecast Capital Additions'!B18</f>
        <v>45891</v>
      </c>
      <c r="C18" s="221">
        <v>0</v>
      </c>
      <c r="D18" s="207">
        <v>0</v>
      </c>
      <c r="E18" s="179">
        <f t="shared" si="0"/>
        <v>0</v>
      </c>
      <c r="F18" s="180">
        <f t="shared" si="7"/>
        <v>0</v>
      </c>
      <c r="G18" s="182">
        <f t="shared" si="1"/>
        <v>0</v>
      </c>
      <c r="H18" s="212">
        <f t="shared" si="2"/>
        <v>0</v>
      </c>
      <c r="I18" s="183">
        <f t="shared" si="8"/>
        <v>0</v>
      </c>
      <c r="J18" s="181">
        <f t="shared" si="8"/>
        <v>0</v>
      </c>
      <c r="K18" s="179">
        <f t="shared" si="3"/>
        <v>0</v>
      </c>
      <c r="L18" s="242">
        <f>'ET Forecast Capital Additions'!$L18</f>
        <v>1</v>
      </c>
      <c r="M18" s="183">
        <f t="shared" si="9"/>
        <v>0</v>
      </c>
      <c r="N18" s="181">
        <f t="shared" si="4"/>
        <v>0</v>
      </c>
      <c r="O18" s="182">
        <f t="shared" si="5"/>
        <v>0</v>
      </c>
      <c r="P18" s="4">
        <f t="shared" si="10"/>
        <v>8</v>
      </c>
      <c r="Q18" s="31"/>
      <c r="R18" s="31"/>
    </row>
    <row r="19" spans="1:18" x14ac:dyDescent="0.25">
      <c r="A19" s="4">
        <f t="shared" si="6"/>
        <v>9</v>
      </c>
      <c r="B19" s="539">
        <f>'ET Forecast Capital Additions'!B19</f>
        <v>45922</v>
      </c>
      <c r="C19" s="222">
        <v>0</v>
      </c>
      <c r="D19" s="184">
        <v>0</v>
      </c>
      <c r="E19" s="122">
        <f t="shared" si="0"/>
        <v>0</v>
      </c>
      <c r="F19" s="185">
        <f t="shared" si="7"/>
        <v>0</v>
      </c>
      <c r="G19" s="123">
        <f t="shared" si="1"/>
        <v>0</v>
      </c>
      <c r="H19" s="223">
        <f t="shared" si="2"/>
        <v>0</v>
      </c>
      <c r="I19" s="52">
        <f t="shared" si="8"/>
        <v>0</v>
      </c>
      <c r="J19" s="232">
        <f t="shared" si="8"/>
        <v>0</v>
      </c>
      <c r="K19" s="122">
        <f t="shared" si="3"/>
        <v>0</v>
      </c>
      <c r="L19" s="243">
        <f>'ET Forecast Capital Additions'!$L19</f>
        <v>1</v>
      </c>
      <c r="M19" s="52">
        <f t="shared" si="9"/>
        <v>0</v>
      </c>
      <c r="N19" s="232">
        <f t="shared" si="4"/>
        <v>0</v>
      </c>
      <c r="O19" s="123">
        <f t="shared" si="5"/>
        <v>0</v>
      </c>
      <c r="P19" s="4">
        <f t="shared" si="10"/>
        <v>9</v>
      </c>
      <c r="Q19" s="31"/>
      <c r="R19" s="31"/>
    </row>
    <row r="20" spans="1:18" x14ac:dyDescent="0.25">
      <c r="A20" s="4">
        <f t="shared" si="6"/>
        <v>10</v>
      </c>
      <c r="B20" s="539">
        <f>'ET Forecast Capital Additions'!B20</f>
        <v>45952</v>
      </c>
      <c r="C20" s="220">
        <v>0</v>
      </c>
      <c r="D20" s="674">
        <v>0</v>
      </c>
      <c r="E20" s="124">
        <f t="shared" si="0"/>
        <v>0</v>
      </c>
      <c r="F20" s="177">
        <f t="shared" si="7"/>
        <v>0</v>
      </c>
      <c r="G20" s="573">
        <f t="shared" si="1"/>
        <v>0</v>
      </c>
      <c r="H20" s="127">
        <f t="shared" si="2"/>
        <v>0</v>
      </c>
      <c r="I20" s="52">
        <f t="shared" si="8"/>
        <v>0</v>
      </c>
      <c r="J20" s="232">
        <f t="shared" si="8"/>
        <v>0</v>
      </c>
      <c r="K20" s="124">
        <f t="shared" si="3"/>
        <v>0</v>
      </c>
      <c r="L20" s="241">
        <f>'ET Forecast Capital Additions'!$L20</f>
        <v>1</v>
      </c>
      <c r="M20" s="52">
        <f t="shared" si="9"/>
        <v>0</v>
      </c>
      <c r="N20" s="232">
        <f t="shared" si="4"/>
        <v>0</v>
      </c>
      <c r="O20" s="573">
        <f t="shared" si="5"/>
        <v>0</v>
      </c>
      <c r="P20" s="4">
        <f t="shared" si="10"/>
        <v>10</v>
      </c>
      <c r="Q20" s="31"/>
      <c r="R20" s="31"/>
    </row>
    <row r="21" spans="1:18" x14ac:dyDescent="0.25">
      <c r="A21" s="4">
        <f t="shared" si="6"/>
        <v>11</v>
      </c>
      <c r="B21" s="539">
        <f>'ET Forecast Capital Additions'!B21</f>
        <v>45983</v>
      </c>
      <c r="C21" s="111">
        <v>0</v>
      </c>
      <c r="D21" s="674">
        <v>0</v>
      </c>
      <c r="E21" s="6">
        <f t="shared" si="0"/>
        <v>0</v>
      </c>
      <c r="F21" s="177">
        <f t="shared" si="7"/>
        <v>0</v>
      </c>
      <c r="G21" s="573">
        <f t="shared" si="1"/>
        <v>0</v>
      </c>
      <c r="H21" s="127">
        <f t="shared" si="2"/>
        <v>0</v>
      </c>
      <c r="I21" s="52">
        <f t="shared" si="8"/>
        <v>0</v>
      </c>
      <c r="J21" s="232">
        <f t="shared" si="8"/>
        <v>0</v>
      </c>
      <c r="K21" s="6">
        <f t="shared" si="3"/>
        <v>0</v>
      </c>
      <c r="L21" s="241">
        <f>'ET Forecast Capital Additions'!$L21</f>
        <v>1</v>
      </c>
      <c r="M21" s="52">
        <f t="shared" si="9"/>
        <v>0</v>
      </c>
      <c r="N21" s="232">
        <f t="shared" si="4"/>
        <v>0</v>
      </c>
      <c r="O21" s="127">
        <f t="shared" si="5"/>
        <v>0</v>
      </c>
      <c r="P21" s="4">
        <f t="shared" si="10"/>
        <v>11</v>
      </c>
      <c r="Q21" s="31"/>
      <c r="R21" s="31"/>
    </row>
    <row r="22" spans="1:18" ht="16.5" thickBot="1" x14ac:dyDescent="0.3">
      <c r="A22" s="4">
        <f t="shared" si="6"/>
        <v>12</v>
      </c>
      <c r="B22" s="540">
        <f>'ET Forecast Capital Additions'!B22</f>
        <v>46013</v>
      </c>
      <c r="C22" s="221">
        <v>0</v>
      </c>
      <c r="D22" s="207">
        <v>0</v>
      </c>
      <c r="E22" s="179">
        <f t="shared" si="0"/>
        <v>0</v>
      </c>
      <c r="F22" s="180">
        <f t="shared" si="7"/>
        <v>0</v>
      </c>
      <c r="G22" s="182">
        <f t="shared" si="1"/>
        <v>0</v>
      </c>
      <c r="H22" s="212">
        <f t="shared" si="2"/>
        <v>0</v>
      </c>
      <c r="I22" s="183">
        <f t="shared" si="8"/>
        <v>0</v>
      </c>
      <c r="J22" s="181">
        <f t="shared" si="8"/>
        <v>0</v>
      </c>
      <c r="K22" s="179">
        <f t="shared" si="3"/>
        <v>0</v>
      </c>
      <c r="L22" s="242">
        <f>'ET Forecast Capital Additions'!$L22</f>
        <v>1</v>
      </c>
      <c r="M22" s="183">
        <f t="shared" si="9"/>
        <v>0</v>
      </c>
      <c r="N22" s="181">
        <f t="shared" si="4"/>
        <v>0</v>
      </c>
      <c r="O22" s="182">
        <f t="shared" si="5"/>
        <v>0</v>
      </c>
      <c r="P22" s="4">
        <f t="shared" si="10"/>
        <v>12</v>
      </c>
      <c r="Q22" s="31"/>
      <c r="R22" s="31"/>
    </row>
    <row r="23" spans="1:18" x14ac:dyDescent="0.25">
      <c r="A23" s="4">
        <f t="shared" si="6"/>
        <v>13</v>
      </c>
      <c r="B23" s="539">
        <f>'ET Forecast Capital Additions'!B23</f>
        <v>46044</v>
      </c>
      <c r="C23" s="222">
        <v>0</v>
      </c>
      <c r="D23" s="184">
        <v>0</v>
      </c>
      <c r="E23" s="122">
        <f t="shared" si="0"/>
        <v>0</v>
      </c>
      <c r="F23" s="185">
        <f t="shared" si="7"/>
        <v>0</v>
      </c>
      <c r="G23" s="123">
        <f t="shared" si="1"/>
        <v>0</v>
      </c>
      <c r="H23" s="223">
        <f t="shared" si="2"/>
        <v>0</v>
      </c>
      <c r="I23" s="52">
        <f t="shared" si="8"/>
        <v>0</v>
      </c>
      <c r="J23" s="232">
        <f t="shared" si="8"/>
        <v>0</v>
      </c>
      <c r="K23" s="122">
        <f t="shared" si="3"/>
        <v>0</v>
      </c>
      <c r="L23" s="243">
        <f>'ET Forecast Capital Additions'!$L23</f>
        <v>1</v>
      </c>
      <c r="M23" s="52">
        <f t="shared" si="9"/>
        <v>0</v>
      </c>
      <c r="N23" s="232">
        <f t="shared" si="4"/>
        <v>0</v>
      </c>
      <c r="O23" s="123">
        <f t="shared" si="5"/>
        <v>0</v>
      </c>
      <c r="P23" s="4">
        <f t="shared" si="10"/>
        <v>13</v>
      </c>
      <c r="Q23" s="31"/>
      <c r="R23" s="31"/>
    </row>
    <row r="24" spans="1:18" x14ac:dyDescent="0.25">
      <c r="A24" s="4">
        <f t="shared" si="6"/>
        <v>14</v>
      </c>
      <c r="B24" s="539">
        <f>'ET Forecast Capital Additions'!B24</f>
        <v>46075</v>
      </c>
      <c r="C24" s="220">
        <v>0</v>
      </c>
      <c r="D24" s="674">
        <v>0</v>
      </c>
      <c r="E24" s="124">
        <f t="shared" si="0"/>
        <v>0</v>
      </c>
      <c r="F24" s="177">
        <f t="shared" si="7"/>
        <v>0</v>
      </c>
      <c r="G24" s="573">
        <f t="shared" si="1"/>
        <v>0</v>
      </c>
      <c r="H24" s="127">
        <f t="shared" si="2"/>
        <v>0</v>
      </c>
      <c r="I24" s="52">
        <f t="shared" si="8"/>
        <v>0</v>
      </c>
      <c r="J24" s="232">
        <f t="shared" si="8"/>
        <v>0</v>
      </c>
      <c r="K24" s="124">
        <f t="shared" si="3"/>
        <v>0</v>
      </c>
      <c r="L24" s="241">
        <f>'ET Forecast Capital Additions'!$L24</f>
        <v>0.91666666666666663</v>
      </c>
      <c r="M24" s="52">
        <f t="shared" si="9"/>
        <v>0</v>
      </c>
      <c r="N24" s="232">
        <f t="shared" si="4"/>
        <v>0</v>
      </c>
      <c r="O24" s="573">
        <f t="shared" si="5"/>
        <v>0</v>
      </c>
      <c r="P24" s="4">
        <f t="shared" si="10"/>
        <v>14</v>
      </c>
      <c r="Q24" s="31"/>
      <c r="R24" s="31"/>
    </row>
    <row r="25" spans="1:18" x14ac:dyDescent="0.25">
      <c r="A25" s="4">
        <f t="shared" si="6"/>
        <v>15</v>
      </c>
      <c r="B25" s="539">
        <f>'ET Forecast Capital Additions'!B25</f>
        <v>46103</v>
      </c>
      <c r="C25" s="220">
        <v>0</v>
      </c>
      <c r="D25" s="674">
        <v>0</v>
      </c>
      <c r="E25" s="124">
        <f t="shared" si="0"/>
        <v>0</v>
      </c>
      <c r="F25" s="177">
        <f t="shared" si="7"/>
        <v>0</v>
      </c>
      <c r="G25" s="573">
        <f t="shared" si="1"/>
        <v>0</v>
      </c>
      <c r="H25" s="127">
        <f t="shared" si="2"/>
        <v>0</v>
      </c>
      <c r="I25" s="52">
        <f t="shared" si="8"/>
        <v>0</v>
      </c>
      <c r="J25" s="232">
        <f t="shared" si="8"/>
        <v>0</v>
      </c>
      <c r="K25" s="124">
        <f t="shared" si="3"/>
        <v>0</v>
      </c>
      <c r="L25" s="241">
        <f>'ET Forecast Capital Additions'!$L25</f>
        <v>0.83333333333333337</v>
      </c>
      <c r="M25" s="52">
        <f t="shared" si="9"/>
        <v>0</v>
      </c>
      <c r="N25" s="232">
        <f t="shared" si="4"/>
        <v>0</v>
      </c>
      <c r="O25" s="573">
        <f t="shared" si="5"/>
        <v>0</v>
      </c>
      <c r="P25" s="4">
        <f t="shared" si="10"/>
        <v>15</v>
      </c>
      <c r="Q25" s="31"/>
      <c r="R25" s="31"/>
    </row>
    <row r="26" spans="1:18" ht="16.5" thickBot="1" x14ac:dyDescent="0.3">
      <c r="A26" s="4">
        <f t="shared" si="6"/>
        <v>16</v>
      </c>
      <c r="B26" s="540">
        <f>'ET Forecast Capital Additions'!B26</f>
        <v>46134</v>
      </c>
      <c r="C26" s="221">
        <v>0</v>
      </c>
      <c r="D26" s="207">
        <v>0</v>
      </c>
      <c r="E26" s="179">
        <f t="shared" si="0"/>
        <v>0</v>
      </c>
      <c r="F26" s="180">
        <f t="shared" si="7"/>
        <v>0</v>
      </c>
      <c r="G26" s="182">
        <f t="shared" si="1"/>
        <v>0</v>
      </c>
      <c r="H26" s="212">
        <f t="shared" si="2"/>
        <v>0</v>
      </c>
      <c r="I26" s="183">
        <f t="shared" si="8"/>
        <v>0</v>
      </c>
      <c r="J26" s="181">
        <f t="shared" si="8"/>
        <v>0</v>
      </c>
      <c r="K26" s="179">
        <f t="shared" si="3"/>
        <v>0</v>
      </c>
      <c r="L26" s="242">
        <f>'ET Forecast Capital Additions'!$L26</f>
        <v>0.75</v>
      </c>
      <c r="M26" s="183">
        <f t="shared" si="9"/>
        <v>0</v>
      </c>
      <c r="N26" s="181">
        <f t="shared" si="4"/>
        <v>0</v>
      </c>
      <c r="O26" s="182">
        <f t="shared" si="5"/>
        <v>0</v>
      </c>
      <c r="P26" s="4">
        <f t="shared" si="10"/>
        <v>16</v>
      </c>
      <c r="Q26" s="31"/>
      <c r="R26" s="31"/>
    </row>
    <row r="27" spans="1:18" x14ac:dyDescent="0.25">
      <c r="A27" s="4">
        <f t="shared" si="6"/>
        <v>17</v>
      </c>
      <c r="B27" s="539">
        <f>'ET Forecast Capital Additions'!B27</f>
        <v>46164</v>
      </c>
      <c r="C27" s="111">
        <v>0</v>
      </c>
      <c r="D27" s="674">
        <v>0</v>
      </c>
      <c r="E27" s="6">
        <f t="shared" si="0"/>
        <v>0</v>
      </c>
      <c r="F27" s="185">
        <f t="shared" si="7"/>
        <v>0</v>
      </c>
      <c r="G27" s="123">
        <f t="shared" si="1"/>
        <v>0</v>
      </c>
      <c r="H27" s="127">
        <f t="shared" si="2"/>
        <v>0</v>
      </c>
      <c r="I27" s="52">
        <f t="shared" si="8"/>
        <v>0</v>
      </c>
      <c r="J27" s="232">
        <f t="shared" si="8"/>
        <v>0</v>
      </c>
      <c r="K27" s="6">
        <f t="shared" si="3"/>
        <v>0</v>
      </c>
      <c r="L27" s="243">
        <f>'ET Forecast Capital Additions'!$L27</f>
        <v>0.66666666666666663</v>
      </c>
      <c r="M27" s="52">
        <f t="shared" si="9"/>
        <v>0</v>
      </c>
      <c r="N27" s="232">
        <f t="shared" si="4"/>
        <v>0</v>
      </c>
      <c r="O27" s="127">
        <f t="shared" si="5"/>
        <v>0</v>
      </c>
      <c r="P27" s="4">
        <f t="shared" si="10"/>
        <v>17</v>
      </c>
      <c r="Q27" s="31"/>
      <c r="R27" s="31"/>
    </row>
    <row r="28" spans="1:18" x14ac:dyDescent="0.25">
      <c r="A28" s="4">
        <f t="shared" si="6"/>
        <v>18</v>
      </c>
      <c r="B28" s="539">
        <f>'ET Forecast Capital Additions'!B28</f>
        <v>46195</v>
      </c>
      <c r="C28" s="220">
        <v>0</v>
      </c>
      <c r="D28" s="674">
        <v>0</v>
      </c>
      <c r="E28" s="124">
        <f t="shared" si="0"/>
        <v>0</v>
      </c>
      <c r="F28" s="177">
        <f t="shared" si="7"/>
        <v>0</v>
      </c>
      <c r="G28" s="573">
        <f t="shared" si="1"/>
        <v>0</v>
      </c>
      <c r="H28" s="127">
        <f t="shared" si="2"/>
        <v>0</v>
      </c>
      <c r="I28" s="52">
        <f t="shared" si="8"/>
        <v>0</v>
      </c>
      <c r="J28" s="232">
        <f t="shared" si="8"/>
        <v>0</v>
      </c>
      <c r="K28" s="124">
        <f t="shared" si="3"/>
        <v>0</v>
      </c>
      <c r="L28" s="241">
        <f>'ET Forecast Capital Additions'!$L28</f>
        <v>0.58333333333333337</v>
      </c>
      <c r="M28" s="52">
        <f t="shared" si="9"/>
        <v>0</v>
      </c>
      <c r="N28" s="232">
        <f t="shared" si="4"/>
        <v>0</v>
      </c>
      <c r="O28" s="573">
        <f t="shared" si="5"/>
        <v>0</v>
      </c>
      <c r="P28" s="4">
        <f t="shared" si="10"/>
        <v>18</v>
      </c>
      <c r="Q28" s="31"/>
      <c r="R28" s="31"/>
    </row>
    <row r="29" spans="1:18" x14ac:dyDescent="0.25">
      <c r="A29" s="4">
        <f t="shared" si="6"/>
        <v>19</v>
      </c>
      <c r="B29" s="539">
        <f>'ET Forecast Capital Additions'!B29</f>
        <v>46225</v>
      </c>
      <c r="C29" s="220">
        <v>0</v>
      </c>
      <c r="D29" s="674">
        <v>0</v>
      </c>
      <c r="E29" s="124">
        <f t="shared" si="0"/>
        <v>0</v>
      </c>
      <c r="F29" s="177">
        <f t="shared" si="7"/>
        <v>0</v>
      </c>
      <c r="G29" s="573">
        <f t="shared" si="1"/>
        <v>0</v>
      </c>
      <c r="H29" s="127">
        <f t="shared" si="2"/>
        <v>0</v>
      </c>
      <c r="I29" s="52">
        <f t="shared" si="8"/>
        <v>0</v>
      </c>
      <c r="J29" s="232">
        <f t="shared" si="8"/>
        <v>0</v>
      </c>
      <c r="K29" s="124">
        <f t="shared" si="3"/>
        <v>0</v>
      </c>
      <c r="L29" s="241">
        <f>'ET Forecast Capital Additions'!$L29</f>
        <v>0.5</v>
      </c>
      <c r="M29" s="52">
        <f t="shared" si="9"/>
        <v>0</v>
      </c>
      <c r="N29" s="232">
        <f t="shared" si="4"/>
        <v>0</v>
      </c>
      <c r="O29" s="573">
        <f t="shared" si="5"/>
        <v>0</v>
      </c>
      <c r="P29" s="4">
        <f t="shared" si="10"/>
        <v>19</v>
      </c>
      <c r="Q29" s="31"/>
      <c r="R29" s="31"/>
    </row>
    <row r="30" spans="1:18" ht="16.5" thickBot="1" x14ac:dyDescent="0.3">
      <c r="A30" s="4">
        <f t="shared" si="6"/>
        <v>20</v>
      </c>
      <c r="B30" s="540">
        <f>'ET Forecast Capital Additions'!B30</f>
        <v>46256</v>
      </c>
      <c r="C30" s="221">
        <v>0</v>
      </c>
      <c r="D30" s="207">
        <v>0</v>
      </c>
      <c r="E30" s="179">
        <f t="shared" si="0"/>
        <v>0</v>
      </c>
      <c r="F30" s="180">
        <f t="shared" si="7"/>
        <v>0</v>
      </c>
      <c r="G30" s="182">
        <f t="shared" si="1"/>
        <v>0</v>
      </c>
      <c r="H30" s="212">
        <f t="shared" si="2"/>
        <v>0</v>
      </c>
      <c r="I30" s="183">
        <f t="shared" si="8"/>
        <v>0</v>
      </c>
      <c r="J30" s="181">
        <f t="shared" si="8"/>
        <v>0</v>
      </c>
      <c r="K30" s="179">
        <f t="shared" si="3"/>
        <v>0</v>
      </c>
      <c r="L30" s="242">
        <f>'ET Forecast Capital Additions'!$L30</f>
        <v>0.41666666666666669</v>
      </c>
      <c r="M30" s="183">
        <f t="shared" si="9"/>
        <v>0</v>
      </c>
      <c r="N30" s="181">
        <f t="shared" si="4"/>
        <v>0</v>
      </c>
      <c r="O30" s="182">
        <f t="shared" si="5"/>
        <v>0</v>
      </c>
      <c r="P30" s="4">
        <f t="shared" si="10"/>
        <v>20</v>
      </c>
      <c r="Q30" s="31"/>
      <c r="R30" s="31"/>
    </row>
    <row r="31" spans="1:18" x14ac:dyDescent="0.25">
      <c r="A31" s="4">
        <f t="shared" si="6"/>
        <v>21</v>
      </c>
      <c r="B31" s="539">
        <f>'ET Forecast Capital Additions'!B31</f>
        <v>46287</v>
      </c>
      <c r="C31" s="220">
        <v>0</v>
      </c>
      <c r="D31" s="674">
        <v>0</v>
      </c>
      <c r="E31" s="124">
        <f t="shared" si="0"/>
        <v>0</v>
      </c>
      <c r="F31" s="185">
        <f t="shared" si="7"/>
        <v>0</v>
      </c>
      <c r="G31" s="123">
        <f t="shared" si="1"/>
        <v>0</v>
      </c>
      <c r="H31" s="127">
        <f t="shared" si="2"/>
        <v>0</v>
      </c>
      <c r="I31" s="52">
        <f t="shared" si="8"/>
        <v>0</v>
      </c>
      <c r="J31" s="232">
        <f t="shared" si="8"/>
        <v>0</v>
      </c>
      <c r="K31" s="124">
        <f t="shared" si="3"/>
        <v>0</v>
      </c>
      <c r="L31" s="243">
        <f>'ET Forecast Capital Additions'!$L31</f>
        <v>0.33333333333333331</v>
      </c>
      <c r="M31" s="52">
        <f t="shared" si="9"/>
        <v>0</v>
      </c>
      <c r="N31" s="232">
        <f t="shared" si="4"/>
        <v>0</v>
      </c>
      <c r="O31" s="573">
        <f t="shared" si="5"/>
        <v>0</v>
      </c>
      <c r="P31" s="4">
        <f t="shared" si="10"/>
        <v>21</v>
      </c>
      <c r="Q31" s="31"/>
      <c r="R31" s="31"/>
    </row>
    <row r="32" spans="1:18" x14ac:dyDescent="0.25">
      <c r="A32" s="4">
        <f t="shared" si="6"/>
        <v>22</v>
      </c>
      <c r="B32" s="539">
        <f>'ET Forecast Capital Additions'!B32</f>
        <v>46317</v>
      </c>
      <c r="C32" s="111">
        <v>0</v>
      </c>
      <c r="D32" s="674">
        <v>0</v>
      </c>
      <c r="E32" s="6">
        <f t="shared" si="0"/>
        <v>0</v>
      </c>
      <c r="F32" s="177">
        <f t="shared" si="7"/>
        <v>0</v>
      </c>
      <c r="G32" s="573">
        <f t="shared" si="1"/>
        <v>0</v>
      </c>
      <c r="H32" s="127">
        <f t="shared" si="2"/>
        <v>0</v>
      </c>
      <c r="I32" s="52">
        <f t="shared" si="8"/>
        <v>0</v>
      </c>
      <c r="J32" s="232">
        <f t="shared" si="8"/>
        <v>0</v>
      </c>
      <c r="K32" s="6">
        <f t="shared" si="3"/>
        <v>0</v>
      </c>
      <c r="L32" s="241">
        <f>'ET Forecast Capital Additions'!$L32</f>
        <v>0.25</v>
      </c>
      <c r="M32" s="52">
        <f t="shared" si="9"/>
        <v>0</v>
      </c>
      <c r="N32" s="232">
        <f t="shared" si="4"/>
        <v>0</v>
      </c>
      <c r="O32" s="127">
        <f t="shared" si="5"/>
        <v>0</v>
      </c>
      <c r="P32" s="4">
        <f t="shared" si="10"/>
        <v>22</v>
      </c>
      <c r="Q32" s="31"/>
      <c r="R32" s="31"/>
    </row>
    <row r="33" spans="1:18" x14ac:dyDescent="0.25">
      <c r="A33" s="4">
        <f t="shared" si="6"/>
        <v>23</v>
      </c>
      <c r="B33" s="539">
        <f>'ET Forecast Capital Additions'!B33</f>
        <v>46348</v>
      </c>
      <c r="C33" s="220">
        <v>0</v>
      </c>
      <c r="D33" s="674">
        <v>0</v>
      </c>
      <c r="E33" s="124">
        <f t="shared" si="0"/>
        <v>0</v>
      </c>
      <c r="F33" s="177">
        <f t="shared" si="7"/>
        <v>0</v>
      </c>
      <c r="G33" s="573">
        <f t="shared" si="1"/>
        <v>0</v>
      </c>
      <c r="H33" s="127">
        <f t="shared" si="2"/>
        <v>0</v>
      </c>
      <c r="I33" s="52">
        <f t="shared" si="8"/>
        <v>0</v>
      </c>
      <c r="J33" s="232">
        <f t="shared" si="8"/>
        <v>0</v>
      </c>
      <c r="K33" s="124">
        <f t="shared" si="3"/>
        <v>0</v>
      </c>
      <c r="L33" s="241">
        <f>'ET Forecast Capital Additions'!$L33</f>
        <v>0.16666666666666666</v>
      </c>
      <c r="M33" s="52">
        <f t="shared" si="9"/>
        <v>0</v>
      </c>
      <c r="N33" s="232">
        <f t="shared" si="4"/>
        <v>0</v>
      </c>
      <c r="O33" s="573">
        <f t="shared" si="5"/>
        <v>0</v>
      </c>
      <c r="P33" s="4">
        <f t="shared" si="10"/>
        <v>23</v>
      </c>
      <c r="Q33" s="31"/>
      <c r="R33" s="31"/>
    </row>
    <row r="34" spans="1:18" ht="16.5" thickBot="1" x14ac:dyDescent="0.3">
      <c r="A34" s="4">
        <f t="shared" si="6"/>
        <v>24</v>
      </c>
      <c r="B34" s="539">
        <f>'ET Forecast Capital Additions'!B34</f>
        <v>46378</v>
      </c>
      <c r="C34" s="220">
        <v>0</v>
      </c>
      <c r="D34" s="674">
        <v>0</v>
      </c>
      <c r="E34" s="124">
        <f t="shared" si="0"/>
        <v>0</v>
      </c>
      <c r="F34" s="180">
        <f t="shared" si="7"/>
        <v>0</v>
      </c>
      <c r="G34" s="182">
        <f t="shared" si="1"/>
        <v>0</v>
      </c>
      <c r="H34" s="127">
        <f t="shared" si="2"/>
        <v>0</v>
      </c>
      <c r="I34" s="183">
        <f t="shared" si="8"/>
        <v>0</v>
      </c>
      <c r="J34" s="181">
        <f t="shared" si="8"/>
        <v>0</v>
      </c>
      <c r="K34" s="124">
        <f t="shared" si="3"/>
        <v>0</v>
      </c>
      <c r="L34" s="241">
        <f>'ET Forecast Capital Additions'!$L34</f>
        <v>8.3333333333333329E-2</v>
      </c>
      <c r="M34" s="183">
        <f t="shared" si="9"/>
        <v>0</v>
      </c>
      <c r="N34" s="181">
        <f t="shared" si="4"/>
        <v>0</v>
      </c>
      <c r="O34" s="573">
        <f t="shared" si="5"/>
        <v>0</v>
      </c>
      <c r="P34" s="4">
        <f t="shared" si="10"/>
        <v>24</v>
      </c>
      <c r="Q34" s="31"/>
      <c r="R34" s="427"/>
    </row>
    <row r="35" spans="1:18" ht="16.5" thickBot="1" x14ac:dyDescent="0.3">
      <c r="A35" s="4">
        <f t="shared" si="6"/>
        <v>25</v>
      </c>
      <c r="B35" s="541" t="s">
        <v>180</v>
      </c>
      <c r="C35" s="191">
        <f t="shared" ref="C35:K35" si="11">SUM(C11:C34)</f>
        <v>0</v>
      </c>
      <c r="D35" s="188">
        <f t="shared" si="11"/>
        <v>0</v>
      </c>
      <c r="E35" s="189">
        <f t="shared" si="11"/>
        <v>0</v>
      </c>
      <c r="F35" s="187">
        <f t="shared" si="11"/>
        <v>0</v>
      </c>
      <c r="G35" s="188">
        <f t="shared" si="11"/>
        <v>0</v>
      </c>
      <c r="H35" s="190">
        <f t="shared" si="11"/>
        <v>0</v>
      </c>
      <c r="I35" s="191">
        <f t="shared" si="11"/>
        <v>0</v>
      </c>
      <c r="J35" s="188">
        <f t="shared" si="11"/>
        <v>0</v>
      </c>
      <c r="K35" s="189">
        <f t="shared" si="11"/>
        <v>0</v>
      </c>
      <c r="L35" s="192"/>
      <c r="M35" s="191">
        <f>SUM(M11:M34)</f>
        <v>0</v>
      </c>
      <c r="N35" s="188">
        <f>SUM(N11:N34)</f>
        <v>0</v>
      </c>
      <c r="O35" s="190">
        <f>SUM(O11:O34)</f>
        <v>0</v>
      </c>
      <c r="P35" s="4">
        <f t="shared" si="10"/>
        <v>25</v>
      </c>
      <c r="Q35" s="31"/>
      <c r="R35" s="31"/>
    </row>
    <row r="36" spans="1:18" x14ac:dyDescent="0.25">
      <c r="A36" s="4">
        <f>A35+1</f>
        <v>26</v>
      </c>
      <c r="B36" s="515"/>
      <c r="C36" s="6"/>
      <c r="D36" s="6"/>
      <c r="E36" s="542"/>
      <c r="F36" s="31"/>
      <c r="G36" s="31"/>
      <c r="H36" s="6"/>
      <c r="I36" s="31"/>
      <c r="J36" s="31"/>
      <c r="K36" s="6"/>
      <c r="L36" s="31"/>
      <c r="M36" s="31"/>
      <c r="N36" s="31"/>
      <c r="O36" s="127"/>
      <c r="P36" s="4">
        <f>P35+1</f>
        <v>26</v>
      </c>
      <c r="Q36" s="31"/>
      <c r="R36" s="31"/>
    </row>
    <row r="37" spans="1:18" s="413" customFormat="1" x14ac:dyDescent="0.25">
      <c r="A37" s="4">
        <f>A36+1</f>
        <v>27</v>
      </c>
      <c r="B37" s="543"/>
      <c r="E37" s="31" t="s">
        <v>1434</v>
      </c>
      <c r="F37" s="544"/>
      <c r="G37" s="544"/>
      <c r="H37" s="28">
        <f>'ET Forecast Capital Additions'!H37</f>
        <v>17304.988000000001</v>
      </c>
      <c r="I37" s="193"/>
      <c r="J37" s="31" t="str">
        <f>'ET Forecast Capital Additions'!J37</f>
        <v>Form 1; Page 204-207; Line 58; Col. d</v>
      </c>
      <c r="K37" s="193"/>
      <c r="O37" s="545"/>
      <c r="P37" s="4">
        <f>P36+1</f>
        <v>27</v>
      </c>
      <c r="Q37" s="31"/>
    </row>
    <row r="38" spans="1:18" s="413" customFormat="1" x14ac:dyDescent="0.25">
      <c r="A38" s="4">
        <f>A37+1</f>
        <v>28</v>
      </c>
      <c r="B38" s="543"/>
      <c r="E38" s="31"/>
      <c r="F38" s="544"/>
      <c r="G38" s="544"/>
      <c r="H38" s="6"/>
      <c r="I38" s="193"/>
      <c r="J38" s="31"/>
      <c r="K38" s="193"/>
      <c r="O38" s="545"/>
      <c r="P38" s="4">
        <f>P37+1</f>
        <v>28</v>
      </c>
    </row>
    <row r="39" spans="1:18" s="413" customFormat="1" x14ac:dyDescent="0.25">
      <c r="A39" s="4">
        <f t="shared" ref="A39:A41" si="12">A38+1</f>
        <v>29</v>
      </c>
      <c r="B39" s="543"/>
      <c r="E39" s="31" t="s">
        <v>1436</v>
      </c>
      <c r="F39" s="544"/>
      <c r="G39" s="544"/>
      <c r="H39" s="912">
        <f>'ET Forecast Capital Additions'!H39</f>
        <v>9392029.3249999993</v>
      </c>
      <c r="I39" s="193"/>
      <c r="J39" s="31" t="str">
        <f>'ET Forecast Capital Additions'!J39</f>
        <v>Form 1; Page 204-207; Line 58; Col. g</v>
      </c>
      <c r="K39" s="193"/>
      <c r="O39" s="545"/>
      <c r="P39" s="4">
        <f t="shared" ref="P39:P48" si="13">P38+1</f>
        <v>29</v>
      </c>
    </row>
    <row r="40" spans="1:18" s="413" customFormat="1" ht="16.5" thickBot="1" x14ac:dyDescent="0.3">
      <c r="A40" s="4">
        <f t="shared" si="12"/>
        <v>30</v>
      </c>
      <c r="B40" s="543"/>
      <c r="E40" s="544"/>
      <c r="F40" s="544"/>
      <c r="G40" s="544"/>
      <c r="H40" s="193"/>
      <c r="I40" s="193"/>
      <c r="J40" s="193"/>
      <c r="K40" s="193"/>
      <c r="O40" s="545"/>
      <c r="P40" s="4">
        <f t="shared" si="13"/>
        <v>30</v>
      </c>
    </row>
    <row r="41" spans="1:18" ht="16.5" thickBot="1" x14ac:dyDescent="0.3">
      <c r="A41" s="4">
        <f t="shared" si="12"/>
        <v>31</v>
      </c>
      <c r="B41" s="515"/>
      <c r="C41" s="31"/>
      <c r="D41" s="31"/>
      <c r="E41" s="1" t="s">
        <v>1438</v>
      </c>
      <c r="F41" s="31"/>
      <c r="G41" s="31"/>
      <c r="H41" s="194">
        <f>IFERROR(H37/H39,0)</f>
        <v>1.8425185230136621E-3</v>
      </c>
      <c r="I41" s="31"/>
      <c r="J41" s="31" t="s">
        <v>1439</v>
      </c>
      <c r="K41" s="47"/>
      <c r="L41" s="31"/>
      <c r="M41" s="31"/>
      <c r="N41" s="31"/>
      <c r="O41" s="380"/>
      <c r="P41" s="4">
        <f t="shared" si="13"/>
        <v>31</v>
      </c>
      <c r="Q41" s="31"/>
      <c r="R41" s="31"/>
    </row>
    <row r="42" spans="1:18" ht="16.5" thickBot="1" x14ac:dyDescent="0.3">
      <c r="A42" s="4">
        <f t="shared" si="6"/>
        <v>32</v>
      </c>
      <c r="B42" s="546"/>
      <c r="C42" s="862"/>
      <c r="D42" s="862"/>
      <c r="E42" s="892"/>
      <c r="F42" s="862"/>
      <c r="G42" s="862"/>
      <c r="H42" s="1072"/>
      <c r="I42" s="862"/>
      <c r="J42" s="862"/>
      <c r="K42" s="862"/>
      <c r="L42" s="862"/>
      <c r="M42" s="862"/>
      <c r="N42" s="862"/>
      <c r="O42" s="195"/>
      <c r="P42" s="4">
        <f t="shared" si="13"/>
        <v>32</v>
      </c>
      <c r="Q42" s="413"/>
      <c r="R42" s="31"/>
    </row>
    <row r="43" spans="1:18" ht="16.5" thickBot="1" x14ac:dyDescent="0.3">
      <c r="A43" s="4">
        <f t="shared" si="6"/>
        <v>33</v>
      </c>
      <c r="B43" s="515"/>
      <c r="C43" s="31"/>
      <c r="D43" s="31"/>
      <c r="E43" s="6"/>
      <c r="F43" s="31"/>
      <c r="G43" s="31"/>
      <c r="H43" s="31"/>
      <c r="I43" s="31"/>
      <c r="J43" s="31"/>
      <c r="K43" s="6" t="s">
        <v>1</v>
      </c>
      <c r="L43" s="31"/>
      <c r="M43" s="47"/>
      <c r="N43" s="47"/>
      <c r="O43" s="547"/>
      <c r="P43" s="4">
        <f t="shared" si="13"/>
        <v>33</v>
      </c>
      <c r="Q43" s="413"/>
      <c r="R43" s="31"/>
    </row>
    <row r="44" spans="1:18" ht="16.5" thickBot="1" x14ac:dyDescent="0.3">
      <c r="A44" s="4">
        <f t="shared" si="6"/>
        <v>34</v>
      </c>
      <c r="B44" s="548"/>
      <c r="C44" s="31"/>
      <c r="D44" s="250"/>
      <c r="E44" s="549"/>
      <c r="F44" s="1073"/>
      <c r="G44" s="1074"/>
      <c r="H44" s="1074" t="s">
        <v>1440</v>
      </c>
      <c r="I44" s="550" t="s">
        <v>1441</v>
      </c>
      <c r="J44" s="551" t="s">
        <v>1442</v>
      </c>
      <c r="K44" s="552" t="s">
        <v>1399</v>
      </c>
      <c r="L44" s="1"/>
      <c r="M44" s="553" t="s">
        <v>1402</v>
      </c>
      <c r="N44" s="554" t="s">
        <v>1403</v>
      </c>
      <c r="O44" s="555" t="s">
        <v>1443</v>
      </c>
      <c r="P44" s="4">
        <f t="shared" si="13"/>
        <v>34</v>
      </c>
      <c r="Q44" s="413"/>
      <c r="R44" s="31"/>
    </row>
    <row r="45" spans="1:18" ht="16.5" thickBot="1" x14ac:dyDescent="0.3">
      <c r="A45" s="4">
        <f t="shared" si="6"/>
        <v>35</v>
      </c>
      <c r="B45" s="515"/>
      <c r="C45" s="31"/>
      <c r="D45" s="31"/>
      <c r="E45" s="556"/>
      <c r="F45" s="363"/>
      <c r="G45" s="557"/>
      <c r="H45" s="557" t="s">
        <v>1444</v>
      </c>
      <c r="I45" s="196">
        <f>+I35</f>
        <v>0</v>
      </c>
      <c r="J45" s="196">
        <f>+J35</f>
        <v>0</v>
      </c>
      <c r="K45" s="196">
        <f>+K35</f>
        <v>0</v>
      </c>
      <c r="L45" s="43"/>
      <c r="M45" s="196">
        <f>+M35</f>
        <v>0</v>
      </c>
      <c r="N45" s="196">
        <f>+N35</f>
        <v>0</v>
      </c>
      <c r="O45" s="196">
        <f>+O35</f>
        <v>0</v>
      </c>
      <c r="P45" s="4">
        <f t="shared" si="13"/>
        <v>35</v>
      </c>
      <c r="Q45" s="31"/>
      <c r="R45" s="31"/>
    </row>
    <row r="46" spans="1:18" ht="16.5" thickTop="1" x14ac:dyDescent="0.25">
      <c r="A46" s="4">
        <f t="shared" si="6"/>
        <v>36</v>
      </c>
      <c r="B46" s="515"/>
      <c r="C46" s="31"/>
      <c r="D46" s="31"/>
      <c r="E46" s="515"/>
      <c r="F46" s="31"/>
      <c r="G46" s="29"/>
      <c r="H46" s="29"/>
      <c r="I46" s="216"/>
      <c r="J46" s="216"/>
      <c r="K46" s="216"/>
      <c r="L46" s="31"/>
      <c r="M46" s="216"/>
      <c r="N46" s="216"/>
      <c r="O46" s="216"/>
      <c r="P46" s="4">
        <f t="shared" si="13"/>
        <v>36</v>
      </c>
      <c r="Q46" s="31"/>
      <c r="R46" s="31"/>
    </row>
    <row r="47" spans="1:18" ht="16.5" thickBot="1" x14ac:dyDescent="0.3">
      <c r="A47" s="4">
        <f>A46+1</f>
        <v>37</v>
      </c>
      <c r="B47" s="515"/>
      <c r="C47" s="31"/>
      <c r="D47" s="31"/>
      <c r="E47" s="515"/>
      <c r="F47" s="31"/>
      <c r="G47" s="29"/>
      <c r="H47" s="471" t="s">
        <v>1445</v>
      </c>
      <c r="I47" s="200">
        <f>IFERROR((+I45/K45),0)</f>
        <v>0</v>
      </c>
      <c r="J47" s="200">
        <f>IFERROR((+J45/K45),0)</f>
        <v>0</v>
      </c>
      <c r="K47" s="200">
        <f>I47+J47</f>
        <v>0</v>
      </c>
      <c r="L47" s="1"/>
      <c r="M47" s="200">
        <f>IFERROR((+M45/O45),0)</f>
        <v>0</v>
      </c>
      <c r="N47" s="200">
        <f>IFERROR((+N45/O45),0)</f>
        <v>0</v>
      </c>
      <c r="O47" s="200">
        <f>M47+N47</f>
        <v>0</v>
      </c>
      <c r="P47" s="4">
        <f>P46+1</f>
        <v>37</v>
      </c>
      <c r="Q47" s="31"/>
      <c r="R47" s="31"/>
    </row>
    <row r="48" spans="1:18" ht="17.25" thickTop="1" thickBot="1" x14ac:dyDescent="0.3">
      <c r="A48" s="4">
        <f t="shared" si="6"/>
        <v>38</v>
      </c>
      <c r="B48" s="514"/>
      <c r="C48" s="31"/>
      <c r="D48" s="31"/>
      <c r="E48" s="546"/>
      <c r="F48" s="862"/>
      <c r="G48" s="862"/>
      <c r="H48" s="862"/>
      <c r="I48" s="204"/>
      <c r="J48" s="204"/>
      <c r="K48" s="195"/>
      <c r="L48" s="31"/>
      <c r="M48" s="205"/>
      <c r="N48" s="206"/>
      <c r="O48" s="195"/>
      <c r="P48" s="4">
        <f t="shared" si="13"/>
        <v>38</v>
      </c>
      <c r="Q48" s="31"/>
      <c r="R48" s="31"/>
    </row>
    <row r="49" spans="1:18" ht="16.5" thickBot="1" x14ac:dyDescent="0.3">
      <c r="A49" s="4">
        <f t="shared" si="6"/>
        <v>39</v>
      </c>
      <c r="B49" s="519"/>
      <c r="C49" s="862"/>
      <c r="D49" s="862"/>
      <c r="E49" s="862"/>
      <c r="F49" s="862"/>
      <c r="G49" s="862"/>
      <c r="H49" s="862"/>
      <c r="I49" s="862"/>
      <c r="J49" s="862"/>
      <c r="K49" s="862"/>
      <c r="L49" s="862"/>
      <c r="M49" s="862"/>
      <c r="N49" s="862"/>
      <c r="O49" s="195"/>
      <c r="P49" s="4">
        <f t="shared" si="10"/>
        <v>39</v>
      </c>
      <c r="Q49" s="31"/>
      <c r="R49" s="31"/>
    </row>
    <row r="50" spans="1:18" x14ac:dyDescent="0.25">
      <c r="B50" s="1"/>
      <c r="C50" s="31"/>
      <c r="D50" s="31"/>
      <c r="E50" s="31"/>
      <c r="F50" s="31"/>
      <c r="G50" s="31"/>
      <c r="H50" s="31"/>
      <c r="I50" s="31"/>
      <c r="J50" s="31"/>
      <c r="K50" s="31"/>
      <c r="L50" s="31"/>
      <c r="M50" s="31"/>
      <c r="N50" s="31"/>
      <c r="O50" s="31"/>
      <c r="Q50" s="31"/>
      <c r="R50" s="31"/>
    </row>
    <row r="51" spans="1:18" x14ac:dyDescent="0.25">
      <c r="B51" s="1"/>
      <c r="C51" s="31"/>
      <c r="D51" s="31"/>
      <c r="E51" s="31"/>
      <c r="F51" s="31"/>
      <c r="G51" s="31"/>
      <c r="H51" s="31"/>
      <c r="I51" s="31"/>
      <c r="J51" s="31"/>
      <c r="K51" s="31"/>
      <c r="L51" s="31"/>
      <c r="M51" s="31"/>
      <c r="N51" s="31"/>
      <c r="O51" s="31"/>
      <c r="Q51" s="31"/>
      <c r="R51" s="31"/>
    </row>
    <row r="52" spans="1:18" x14ac:dyDescent="0.25">
      <c r="B52" s="1"/>
      <c r="C52" s="31"/>
      <c r="D52" s="31"/>
      <c r="E52" s="31"/>
      <c r="F52" s="31"/>
      <c r="G52" s="31"/>
      <c r="H52" s="31"/>
      <c r="I52" s="31"/>
      <c r="J52" s="31"/>
      <c r="K52" s="31"/>
      <c r="L52" s="31"/>
      <c r="M52" s="31"/>
      <c r="N52" s="31"/>
      <c r="O52" s="31"/>
      <c r="Q52" s="31"/>
      <c r="R52" s="31"/>
    </row>
    <row r="53" spans="1:18" x14ac:dyDescent="0.25">
      <c r="B53" s="565"/>
      <c r="C53" s="6"/>
      <c r="D53" s="6"/>
      <c r="E53" s="6"/>
      <c r="F53" s="6"/>
      <c r="G53" s="6"/>
      <c r="H53" s="6"/>
      <c r="I53" s="6"/>
      <c r="J53" s="6"/>
      <c r="K53" s="6"/>
      <c r="L53" s="427"/>
      <c r="M53" s="6"/>
      <c r="N53" s="6"/>
      <c r="O53" s="6"/>
      <c r="Q53" s="31"/>
      <c r="R53" s="31"/>
    </row>
    <row r="54" spans="1:18" x14ac:dyDescent="0.25">
      <c r="B54" s="565"/>
      <c r="C54" s="6"/>
      <c r="D54" s="6"/>
      <c r="E54" s="6"/>
      <c r="F54" s="6"/>
      <c r="G54" s="6"/>
      <c r="H54" s="6"/>
      <c r="I54" s="6"/>
      <c r="J54" s="6"/>
      <c r="K54" s="6"/>
      <c r="L54" s="427"/>
      <c r="M54" s="6"/>
      <c r="N54" s="6"/>
      <c r="O54" s="6"/>
      <c r="Q54" s="31"/>
      <c r="R54" s="31"/>
    </row>
    <row r="55" spans="1:18" x14ac:dyDescent="0.25">
      <c r="B55" s="565"/>
      <c r="C55" s="6"/>
      <c r="D55" s="6"/>
      <c r="E55" s="6"/>
      <c r="F55" s="6"/>
      <c r="G55" s="6"/>
      <c r="H55" s="6"/>
      <c r="I55" s="6"/>
      <c r="J55" s="6"/>
      <c r="K55" s="6"/>
      <c r="L55" s="427"/>
      <c r="M55" s="6"/>
      <c r="N55" s="6"/>
      <c r="O55" s="6"/>
      <c r="Q55" s="31"/>
      <c r="R55" s="31"/>
    </row>
    <row r="56" spans="1:18" x14ac:dyDescent="0.25">
      <c r="B56" s="565"/>
      <c r="C56" s="6"/>
      <c r="D56" s="6"/>
      <c r="E56" s="6"/>
      <c r="F56" s="6"/>
      <c r="G56" s="6"/>
      <c r="H56" s="6"/>
      <c r="I56" s="6"/>
      <c r="J56" s="6"/>
      <c r="K56" s="6"/>
      <c r="L56" s="427"/>
      <c r="M56" s="6"/>
      <c r="N56" s="6"/>
      <c r="O56" s="6"/>
      <c r="Q56" s="31"/>
      <c r="R56" s="31"/>
    </row>
    <row r="57" spans="1:18" x14ac:dyDescent="0.25">
      <c r="B57" s="565"/>
      <c r="C57" s="6"/>
      <c r="D57" s="6"/>
      <c r="E57" s="6"/>
      <c r="F57" s="6"/>
      <c r="G57" s="6"/>
      <c r="H57" s="6"/>
      <c r="I57" s="6"/>
      <c r="J57" s="6"/>
      <c r="K57" s="6"/>
      <c r="L57" s="427"/>
      <c r="M57" s="6"/>
      <c r="N57" s="6"/>
      <c r="O57" s="6"/>
      <c r="Q57" s="31"/>
      <c r="R57" s="31"/>
    </row>
    <row r="58" spans="1:18" x14ac:dyDescent="0.25">
      <c r="B58" s="565"/>
      <c r="C58" s="31"/>
      <c r="D58" s="31"/>
      <c r="E58" s="31"/>
      <c r="F58" s="31"/>
      <c r="G58" s="31"/>
      <c r="H58" s="31"/>
      <c r="I58" s="31"/>
      <c r="J58" s="31"/>
      <c r="K58" s="31"/>
      <c r="L58" s="31"/>
      <c r="M58" s="31"/>
      <c r="N58" s="31"/>
      <c r="O58" s="31"/>
      <c r="Q58" s="31"/>
      <c r="R58" s="31"/>
    </row>
  </sheetData>
  <mergeCells count="5">
    <mergeCell ref="B2:O2"/>
    <mergeCell ref="B3:O3"/>
    <mergeCell ref="B4:O4"/>
    <mergeCell ref="B5:O5"/>
    <mergeCell ref="B6:O6"/>
  </mergeCells>
  <printOptions horizontalCentered="1"/>
  <pageMargins left="0.5" right="0.5" top="0.5" bottom="0.5" header="0.25" footer="0.25"/>
  <pageSetup scale="58" orientation="landscape" r:id="rId1"/>
  <headerFooter scaleWithDoc="0">
    <oddFooter>&amp;C&amp;"Times New Roman,Regular"&amp;10Summary of Weighted Incentive Transmission Plant Additions</oddFooter>
  </headerFooter>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ee868c9-5247-4011-927d-9c68ed1e53dd" xsi:nil="true"/>
    <TaxCatchAll xmlns="d3533485-01ac-4c85-a144-d07c02817c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35CF2B8EB50246BC563305BEF1695D" ma:contentTypeVersion="9" ma:contentTypeDescription="Create a new document." ma:contentTypeScope="" ma:versionID="f611d8ea59d41cd1cce03b1235d21b8f">
  <xsd:schema xmlns:xsd="http://www.w3.org/2001/XMLSchema" xmlns:xs="http://www.w3.org/2001/XMLSchema" xmlns:p="http://schemas.microsoft.com/office/2006/metadata/properties" xmlns:ns2="1ee868c9-5247-4011-927d-9c68ed1e53dd" xmlns:ns3="d3533485-01ac-4c85-a144-d07c02817ce0" targetNamespace="http://schemas.microsoft.com/office/2006/metadata/properties" ma:root="true" ma:fieldsID="76255cd5c23570fa4b62fcf34b658d81" ns2:_="" ns3:_="">
    <xsd:import namespace="1ee868c9-5247-4011-927d-9c68ed1e53dd"/>
    <xsd:import namespace="d3533485-01ac-4c85-a144-d07c02817c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e868c9-5247-4011-927d-9c68ed1e53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displayName="Image Tags_0" ma:hidden="true" ma:internalName="lcf76f155ced4ddcb4097134ff3c332f">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533485-01ac-4c85-a144-d07c02817ce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9f08b38-53a8-4c16-a8c7-e51cb0eca8e8}" ma:internalName="TaxCatchAll" ma:showField="CatchAllData" ma:web="d3533485-01ac-4c85-a144-d07c02817c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B28AC0-A937-4726-9F01-D09E7304DA1A}">
  <ds:schemaRefs>
    <ds:schemaRef ds:uri="http://schemas.microsoft.com/sharepoint/v3/contenttype/forms"/>
  </ds:schemaRefs>
</ds:datastoreItem>
</file>

<file path=customXml/itemProps2.xml><?xml version="1.0" encoding="utf-8"?>
<ds:datastoreItem xmlns:ds="http://schemas.openxmlformats.org/officeDocument/2006/customXml" ds:itemID="{E46125E5-D8B8-45DB-99CA-EF2AAE465A1F}">
  <ds:schemaRefs>
    <ds:schemaRef ds:uri="http://schemas.openxmlformats.org/package/2006/metadata/core-properties"/>
    <ds:schemaRef ds:uri="http://schemas.microsoft.com/office/2006/metadata/properties"/>
    <ds:schemaRef ds:uri="http://purl.org/dc/dcmitype/"/>
    <ds:schemaRef ds:uri="http://schemas.microsoft.com/office/2006/documentManagement/types"/>
    <ds:schemaRef ds:uri="d3533485-01ac-4c85-a144-d07c02817ce0"/>
    <ds:schemaRef ds:uri="http://purl.org/dc/elements/1.1/"/>
    <ds:schemaRef ds:uri="http://www.w3.org/XML/1998/namespace"/>
    <ds:schemaRef ds:uri="http://schemas.microsoft.com/office/infopath/2007/PartnerControls"/>
    <ds:schemaRef ds:uri="1ee868c9-5247-4011-927d-9c68ed1e53dd"/>
    <ds:schemaRef ds:uri="http://purl.org/dc/terms/"/>
  </ds:schemaRefs>
</ds:datastoreItem>
</file>

<file path=customXml/itemProps3.xml><?xml version="1.0" encoding="utf-8"?>
<ds:datastoreItem xmlns:ds="http://schemas.openxmlformats.org/officeDocument/2006/customXml" ds:itemID="{FF27449F-9C36-4584-9445-36144CFBD6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e868c9-5247-4011-927d-9c68ed1e53dd"/>
    <ds:schemaRef ds:uri="d3533485-01ac-4c85-a144-d07c02817c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101</vt:i4>
      </vt:variant>
      <vt:variant>
        <vt:lpstr>Named Ranges</vt:lpstr>
      </vt:variant>
      <vt:variant>
        <vt:i4>13</vt:i4>
      </vt:variant>
    </vt:vector>
  </HeadingPairs>
  <TitlesOfParts>
    <vt:vector size="114" baseType="lpstr">
      <vt:lpstr>BK-1 BTRR - EU</vt:lpstr>
      <vt:lpstr>BK-2 BTRR - CAISO</vt:lpstr>
      <vt:lpstr>Stmt AD</vt:lpstr>
      <vt:lpstr>AD-1</vt:lpstr>
      <vt:lpstr>AD-2</vt:lpstr>
      <vt:lpstr>AD-3</vt:lpstr>
      <vt:lpstr>AD-4</vt:lpstr>
      <vt:lpstr>AD-5</vt:lpstr>
      <vt:lpstr>AD-6</vt:lpstr>
      <vt:lpstr>AD-6A</vt:lpstr>
      <vt:lpstr>AD-6B</vt:lpstr>
      <vt:lpstr>AD-7</vt:lpstr>
      <vt:lpstr>AD-8</vt:lpstr>
      <vt:lpstr>AD-9</vt:lpstr>
      <vt:lpstr>AD-10</vt:lpstr>
      <vt:lpstr>Stmt AE</vt:lpstr>
      <vt:lpstr>AE-1</vt:lpstr>
      <vt:lpstr>AE-1A</vt:lpstr>
      <vt:lpstr>AE-1B</vt:lpstr>
      <vt:lpstr>AE-2</vt:lpstr>
      <vt:lpstr>AE-3</vt:lpstr>
      <vt:lpstr>AE-4</vt:lpstr>
      <vt:lpstr>AE-5</vt:lpstr>
      <vt:lpstr>Stmt AF</vt:lpstr>
      <vt:lpstr>AF-1</vt:lpstr>
      <vt:lpstr>AF-2</vt:lpstr>
      <vt:lpstr>AF-3</vt:lpstr>
      <vt:lpstr>AF-4</vt:lpstr>
      <vt:lpstr>Stmt AG</vt:lpstr>
      <vt:lpstr>AG-1</vt:lpstr>
      <vt:lpstr>AG-1A</vt:lpstr>
      <vt:lpstr>Stmt AH</vt:lpstr>
      <vt:lpstr>AH-1</vt:lpstr>
      <vt:lpstr>AH-2</vt:lpstr>
      <vt:lpstr>Stmt AI</vt:lpstr>
      <vt:lpstr>Stmt AJ</vt:lpstr>
      <vt:lpstr>AJ-1</vt:lpstr>
      <vt:lpstr>AJ-1A</vt:lpstr>
      <vt:lpstr>AJ-1B</vt:lpstr>
      <vt:lpstr>AJ-2</vt:lpstr>
      <vt:lpstr>AJ-2A</vt:lpstr>
      <vt:lpstr>AJ-3</vt:lpstr>
      <vt:lpstr>AJ-3A</vt:lpstr>
      <vt:lpstr>AJ-4</vt:lpstr>
      <vt:lpstr>AJ-4A</vt:lpstr>
      <vt:lpstr>AJ-5</vt:lpstr>
      <vt:lpstr>AJ-6</vt:lpstr>
      <vt:lpstr>AJ-7</vt:lpstr>
      <vt:lpstr>Stmt AK</vt:lpstr>
      <vt:lpstr>Stmt AL</vt:lpstr>
      <vt:lpstr>AL-1</vt:lpstr>
      <vt:lpstr>AL-1.1</vt:lpstr>
      <vt:lpstr>AL-2</vt:lpstr>
      <vt:lpstr>Stmt AM</vt:lpstr>
      <vt:lpstr>AM-1</vt:lpstr>
      <vt:lpstr>Stmt AQ</vt:lpstr>
      <vt:lpstr>Stmt AR</vt:lpstr>
      <vt:lpstr>AR-1</vt:lpstr>
      <vt:lpstr>Stmt AT</vt:lpstr>
      <vt:lpstr>AT-1</vt:lpstr>
      <vt:lpstr>Stmt AU</vt:lpstr>
      <vt:lpstr>AU-1</vt:lpstr>
      <vt:lpstr>Stmt AV</vt:lpstr>
      <vt:lpstr>AV-1A</vt:lpstr>
      <vt:lpstr>AV-1B</vt:lpstr>
      <vt:lpstr>Stmt Misc.</vt:lpstr>
      <vt:lpstr>Misc.-1</vt:lpstr>
      <vt:lpstr>Misc.-1.1</vt:lpstr>
      <vt:lpstr>Misc.-2</vt:lpstr>
      <vt:lpstr>Order 864-1</vt:lpstr>
      <vt:lpstr>Order 864-2</vt:lpstr>
      <vt:lpstr>Order 864-3</vt:lpstr>
      <vt:lpstr>Order 864-4</vt:lpstr>
      <vt:lpstr>True-Up</vt:lpstr>
      <vt:lpstr>TO5 True-Up</vt:lpstr>
      <vt:lpstr>TO6 True-Up</vt:lpstr>
      <vt:lpstr>TO5 True-Up BK-1</vt:lpstr>
      <vt:lpstr>TO6 True-Up BK-1</vt:lpstr>
      <vt:lpstr>TO5 Stmt AF Proration</vt:lpstr>
      <vt:lpstr>True Up Stmt AD</vt:lpstr>
      <vt:lpstr>True-Up Stmt AE</vt:lpstr>
      <vt:lpstr>True-Up Stmt AH</vt:lpstr>
      <vt:lpstr>True-up Stmt AH-1</vt:lpstr>
      <vt:lpstr>True-Up AH-2</vt:lpstr>
      <vt:lpstr>True-Up Stmt AI</vt:lpstr>
      <vt:lpstr>True-Up Stmt AJ</vt:lpstr>
      <vt:lpstr>True-Up Stmt AK</vt:lpstr>
      <vt:lpstr>True-Up Stmt AL</vt:lpstr>
      <vt:lpstr>True-Up Stmt AV</vt:lpstr>
      <vt:lpstr>True-Up Stmt Misc</vt:lpstr>
      <vt:lpstr>True-Up Misc.-1</vt:lpstr>
      <vt:lpstr>True-Up Misc.-1.1</vt:lpstr>
      <vt:lpstr>Interest TU BP</vt:lpstr>
      <vt:lpstr>Interest TU CY</vt:lpstr>
      <vt:lpstr>HV-LV Plant Study</vt:lpstr>
      <vt:lpstr>Summary of HV-LV Splits</vt:lpstr>
      <vt:lpstr>ET Forecast Capital Additions</vt:lpstr>
      <vt:lpstr>General &amp; Common Plant Addition</vt:lpstr>
      <vt:lpstr>Incentive Transmission Plant</vt:lpstr>
      <vt:lpstr>Incentive CWIP-A</vt:lpstr>
      <vt:lpstr>Incentive CWIP-B</vt:lpstr>
      <vt:lpstr>'AD-9'!Print_Area</vt:lpstr>
      <vt:lpstr>'AE-2'!Print_Area</vt:lpstr>
      <vt:lpstr>'AE-3'!Print_Area</vt:lpstr>
      <vt:lpstr>'AG-1'!Print_Area</vt:lpstr>
      <vt:lpstr>'AH-2'!Print_Area</vt:lpstr>
      <vt:lpstr>'AJ-1'!Print_Area</vt:lpstr>
      <vt:lpstr>'AL-1'!Print_Area</vt:lpstr>
      <vt:lpstr>'BK-1 BTRR - EU'!Print_Area</vt:lpstr>
      <vt:lpstr>'BK-2 BTRR - CAISO'!Print_Area</vt:lpstr>
      <vt:lpstr>'TO5 True-Up BK-1'!Print_Area</vt:lpstr>
      <vt:lpstr>'TO6 True-Up BK-1'!Print_Area</vt:lpstr>
      <vt:lpstr>'True-Up AH-2'!Print_Area</vt:lpstr>
      <vt:lpstr>'AH-2'!Print_Titles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sward</dc:creator>
  <cp:keywords/>
  <dc:description/>
  <cp:lastModifiedBy>Pham, Jenny L.</cp:lastModifiedBy>
  <cp:revision/>
  <cp:lastPrinted>2026-06-11T12:27:12Z</cp:lastPrinted>
  <dcterms:created xsi:type="dcterms:W3CDTF">2016-08-29T13:22:03Z</dcterms:created>
  <dcterms:modified xsi:type="dcterms:W3CDTF">2026-06-11T12:29:01Z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{076CBD04-4AC4-48CB-8E3D-AE47D9F74B5D}</vt:lpwstr>
  </property>
  <property fmtid="{D5CDD505-2E9C-101B-9397-08002B2CF9AE}" pid="3" name="ContentTypeId">
    <vt:lpwstr>0x010100A535CF2B8EB50246BC563305BEF1695D</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MediaServiceImageTags">
    <vt:lpwstr/>
  </property>
  <property fmtid="{D5CDD505-2E9C-101B-9397-08002B2CF9AE}" pid="7" name="MSIP_Label_cd97076e-e5a9-49b1-9873-62b6e38f493d_Enabled">
    <vt:lpwstr>true</vt:lpwstr>
  </property>
  <property fmtid="{D5CDD505-2E9C-101B-9397-08002B2CF9AE}" pid="8" name="MSIP_Label_cd97076e-e5a9-49b1-9873-62b6e38f493d_SetDate">
    <vt:lpwstr>2026-06-03T14:45:52Z</vt:lpwstr>
  </property>
  <property fmtid="{D5CDD505-2E9C-101B-9397-08002B2CF9AE}" pid="9" name="MSIP_Label_cd97076e-e5a9-49b1-9873-62b6e38f493d_Method">
    <vt:lpwstr>Standard</vt:lpwstr>
  </property>
  <property fmtid="{D5CDD505-2E9C-101B-9397-08002B2CF9AE}" pid="10" name="MSIP_Label_cd97076e-e5a9-49b1-9873-62b6e38f493d_Name">
    <vt:lpwstr>IP-Internal</vt:lpwstr>
  </property>
  <property fmtid="{D5CDD505-2E9C-101B-9397-08002B2CF9AE}" pid="11" name="MSIP_Label_cd97076e-e5a9-49b1-9873-62b6e38f493d_SiteId">
    <vt:lpwstr>a2e7980c-11ea-4838-8f1a-2f497d8c4072</vt:lpwstr>
  </property>
  <property fmtid="{D5CDD505-2E9C-101B-9397-08002B2CF9AE}" pid="12" name="MSIP_Label_cd97076e-e5a9-49b1-9873-62b6e38f493d_ActionId">
    <vt:lpwstr>e1bc34e6-727a-4854-818a-e604e9d79ef4</vt:lpwstr>
  </property>
  <property fmtid="{D5CDD505-2E9C-101B-9397-08002B2CF9AE}" pid="13" name="MSIP_Label_cd97076e-e5a9-49b1-9873-62b6e38f493d_ContentBits">
    <vt:lpwstr>0</vt:lpwstr>
  </property>
  <property fmtid="{D5CDD505-2E9C-101B-9397-08002B2CF9AE}" pid="14" name="MSIP_Label_cd97076e-e5a9-49b1-9873-62b6e38f493d_Tag">
    <vt:lpwstr>10, 3, 0, 1</vt:lpwstr>
  </property>
</Properties>
</file>